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WORKSHARE\WORKGRP\CRU\CRStaff\CR2122\Preliminary\State Preliminary Submission\FY 2021-22 DMC ODS Cost Report Form\"/>
    </mc:Choice>
  </mc:AlternateContent>
  <xr:revisionPtr revIDLastSave="0" documentId="13_ncr:1_{D41E2BED-EC5A-4333-ABCB-8403EB1C907E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7990NTP-NP" sheetId="7" r:id="rId1"/>
    <sheet name="FL Info" sheetId="13" r:id="rId2"/>
  </sheets>
  <definedNames>
    <definedName name="\\I4" hidden="1">#NAME?</definedName>
    <definedName name="\\I8" hidden="1">#NAME?</definedName>
    <definedName name="\I">#REF!</definedName>
    <definedName name="\I2">#REF!</definedName>
    <definedName name="\I3">#REF!</definedName>
    <definedName name="\I4">#REF!</definedName>
    <definedName name="\I5">#REF!</definedName>
    <definedName name="\I6">#REF!</definedName>
    <definedName name="\I7">#REF!</definedName>
    <definedName name="\I8">#REF!</definedName>
    <definedName name="\I8a">#REF!</definedName>
    <definedName name="\I9">#REF!</definedName>
    <definedName name="_1_5">#REF!</definedName>
    <definedName name="BACKA">#REF!</definedName>
    <definedName name="BACKB">#REF!</definedName>
    <definedName name="BACKC">#REF!</definedName>
    <definedName name="BACKD">#REF!</definedName>
    <definedName name="BLOCK">#REF!</definedName>
    <definedName name="i">#REF!</definedName>
    <definedName name="_xlnm.Print_Area" localSheetId="0">'7990NTP-NP'!$A$1:$R$77</definedName>
    <definedName name="_xlnm.Print_Area" localSheetId="1">'FL Info'!$A$1:$AC$279</definedName>
    <definedName name="repor1">#REF!</definedName>
    <definedName name="RE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7" l="1"/>
  <c r="D69" i="7" l="1"/>
  <c r="D25" i="13"/>
  <c r="D27" i="13"/>
  <c r="AB25" i="13"/>
  <c r="X25" i="13"/>
  <c r="T25" i="13"/>
  <c r="P25" i="13"/>
  <c r="L25" i="13"/>
  <c r="H25" i="13"/>
  <c r="AB90" i="13"/>
  <c r="X90" i="13"/>
  <c r="T90" i="13"/>
  <c r="P90" i="13"/>
  <c r="L90" i="13"/>
  <c r="H90" i="13"/>
  <c r="AB61" i="13"/>
  <c r="X61" i="13"/>
  <c r="T61" i="13"/>
  <c r="P61" i="13"/>
  <c r="L61" i="13"/>
  <c r="H61" i="13"/>
  <c r="AB127" i="13"/>
  <c r="X127" i="13"/>
  <c r="T127" i="13"/>
  <c r="P127" i="13"/>
  <c r="L127" i="13"/>
  <c r="H127" i="13"/>
  <c r="AB97" i="13"/>
  <c r="X97" i="13"/>
  <c r="T97" i="13"/>
  <c r="P97" i="13"/>
  <c r="L97" i="13"/>
  <c r="H97" i="13"/>
  <c r="D51" i="7"/>
  <c r="E51" i="7"/>
  <c r="F51" i="7"/>
  <c r="G51" i="7"/>
  <c r="H51" i="7"/>
  <c r="B63" i="7" s="1"/>
  <c r="I51" i="7"/>
  <c r="B64" i="7" s="1"/>
  <c r="D61" i="13" l="1"/>
  <c r="AB187" i="13"/>
  <c r="X187" i="13"/>
  <c r="T187" i="13"/>
  <c r="P187" i="13"/>
  <c r="L187" i="13"/>
  <c r="H187" i="13"/>
  <c r="D187" i="13"/>
  <c r="D64" i="7"/>
  <c r="D63" i="7"/>
  <c r="D62" i="7"/>
  <c r="D61" i="7"/>
  <c r="D60" i="7"/>
  <c r="D59" i="7"/>
  <c r="D58" i="7"/>
  <c r="B59" i="7"/>
  <c r="B60" i="7"/>
  <c r="B61" i="7"/>
  <c r="B62" i="7"/>
  <c r="D90" i="13" l="1"/>
  <c r="X21" i="13"/>
  <c r="AB111" i="13" l="1"/>
  <c r="AB108" i="13"/>
  <c r="AB105" i="13"/>
  <c r="AB102" i="13"/>
  <c r="AB99" i="13"/>
  <c r="AB95" i="13"/>
  <c r="AB92" i="13"/>
  <c r="AB88" i="13"/>
  <c r="AB85" i="13"/>
  <c r="AB82" i="13"/>
  <c r="AB79" i="13"/>
  <c r="AB76" i="13"/>
  <c r="AB74" i="13"/>
  <c r="AB71" i="13"/>
  <c r="AB69" i="13"/>
  <c r="AB66" i="13"/>
  <c r="AB63" i="13"/>
  <c r="AB58" i="13"/>
  <c r="AB55" i="13"/>
  <c r="AB53" i="13"/>
  <c r="AB50" i="13"/>
  <c r="AB47" i="13"/>
  <c r="AB44" i="13"/>
  <c r="AB42" i="13"/>
  <c r="AB39" i="13"/>
  <c r="AB36" i="13"/>
  <c r="AB33" i="13"/>
  <c r="AB30" i="13"/>
  <c r="AB27" i="13"/>
  <c r="AB23" i="13"/>
  <c r="AB21" i="13"/>
  <c r="AB18" i="13"/>
  <c r="X111" i="13"/>
  <c r="X108" i="13"/>
  <c r="X105" i="13"/>
  <c r="X102" i="13"/>
  <c r="X99" i="13"/>
  <c r="X95" i="13"/>
  <c r="X92" i="13"/>
  <c r="X88" i="13"/>
  <c r="X85" i="13"/>
  <c r="X82" i="13"/>
  <c r="X79" i="13"/>
  <c r="X76" i="13"/>
  <c r="X74" i="13"/>
  <c r="X71" i="13"/>
  <c r="X69" i="13"/>
  <c r="X66" i="13"/>
  <c r="X63" i="13"/>
  <c r="X58" i="13"/>
  <c r="X55" i="13"/>
  <c r="X53" i="13"/>
  <c r="X50" i="13"/>
  <c r="X47" i="13"/>
  <c r="X44" i="13"/>
  <c r="X42" i="13"/>
  <c r="X39" i="13"/>
  <c r="X36" i="13"/>
  <c r="X33" i="13"/>
  <c r="X30" i="13"/>
  <c r="X27" i="13"/>
  <c r="X23" i="13"/>
  <c r="X18" i="13"/>
  <c r="D97" i="13" l="1"/>
  <c r="AB189" i="13"/>
  <c r="AB186" i="13"/>
  <c r="X189" i="13"/>
  <c r="X186" i="13"/>
  <c r="T189" i="13"/>
  <c r="T186" i="13"/>
  <c r="P189" i="13"/>
  <c r="P186" i="13"/>
  <c r="L189" i="13"/>
  <c r="L186" i="13"/>
  <c r="H189" i="13"/>
  <c r="H186" i="13"/>
  <c r="T111" i="13"/>
  <c r="T108" i="13"/>
  <c r="T105" i="13"/>
  <c r="T102" i="13"/>
  <c r="T99" i="13"/>
  <c r="T95" i="13"/>
  <c r="T92" i="13"/>
  <c r="T88" i="13"/>
  <c r="T85" i="13"/>
  <c r="T82" i="13"/>
  <c r="T79" i="13"/>
  <c r="T76" i="13"/>
  <c r="T74" i="13"/>
  <c r="T71" i="13"/>
  <c r="T69" i="13"/>
  <c r="T66" i="13"/>
  <c r="T63" i="13"/>
  <c r="T58" i="13"/>
  <c r="T55" i="13"/>
  <c r="T53" i="13"/>
  <c r="T50" i="13"/>
  <c r="T47" i="13"/>
  <c r="T44" i="13"/>
  <c r="T42" i="13"/>
  <c r="T39" i="13"/>
  <c r="T36" i="13"/>
  <c r="T33" i="13"/>
  <c r="T30" i="13"/>
  <c r="T27" i="13"/>
  <c r="T23" i="13"/>
  <c r="T21" i="13"/>
  <c r="T18" i="13"/>
  <c r="P111" i="13"/>
  <c r="P108" i="13"/>
  <c r="P105" i="13"/>
  <c r="P102" i="13"/>
  <c r="P99" i="13"/>
  <c r="P95" i="13"/>
  <c r="P92" i="13"/>
  <c r="P88" i="13"/>
  <c r="P85" i="13"/>
  <c r="P82" i="13"/>
  <c r="P79" i="13"/>
  <c r="P76" i="13"/>
  <c r="P74" i="13"/>
  <c r="P71" i="13"/>
  <c r="P69" i="13"/>
  <c r="P66" i="13"/>
  <c r="P63" i="13"/>
  <c r="P58" i="13"/>
  <c r="P55" i="13"/>
  <c r="P53" i="13"/>
  <c r="P50" i="13"/>
  <c r="P47" i="13"/>
  <c r="P44" i="13"/>
  <c r="P42" i="13"/>
  <c r="P39" i="13"/>
  <c r="P36" i="13"/>
  <c r="P33" i="13"/>
  <c r="P30" i="13"/>
  <c r="P27" i="13"/>
  <c r="P21" i="13"/>
  <c r="P18" i="13"/>
  <c r="P23" i="13"/>
  <c r="L111" i="13"/>
  <c r="L108" i="13"/>
  <c r="L105" i="13"/>
  <c r="L102" i="13"/>
  <c r="L99" i="13"/>
  <c r="L95" i="13"/>
  <c r="L92" i="13"/>
  <c r="L88" i="13"/>
  <c r="L85" i="13"/>
  <c r="L82" i="13"/>
  <c r="L79" i="13"/>
  <c r="L76" i="13"/>
  <c r="L74" i="13"/>
  <c r="L71" i="13"/>
  <c r="L69" i="13"/>
  <c r="L66" i="13"/>
  <c r="L63" i="13"/>
  <c r="L58" i="13"/>
  <c r="L55" i="13"/>
  <c r="L53" i="13"/>
  <c r="L50" i="13"/>
  <c r="L47" i="13"/>
  <c r="L44" i="13"/>
  <c r="L42" i="13"/>
  <c r="L39" i="13"/>
  <c r="L36" i="13"/>
  <c r="L33" i="13"/>
  <c r="L30" i="13"/>
  <c r="L27" i="13"/>
  <c r="L23" i="13"/>
  <c r="L21" i="13"/>
  <c r="L18" i="13"/>
  <c r="D127" i="13" l="1"/>
  <c r="C51" i="7"/>
  <c r="B58" i="7" s="1"/>
  <c r="H111" i="13"/>
  <c r="H108" i="13"/>
  <c r="H105" i="13"/>
  <c r="H102" i="13"/>
  <c r="H99" i="13"/>
  <c r="H95" i="13"/>
  <c r="H92" i="13"/>
  <c r="H88" i="13"/>
  <c r="H85" i="13"/>
  <c r="H82" i="13"/>
  <c r="H79" i="13"/>
  <c r="H76" i="13"/>
  <c r="H74" i="13"/>
  <c r="H71" i="13"/>
  <c r="H69" i="13"/>
  <c r="H66" i="13"/>
  <c r="H63" i="13"/>
  <c r="H58" i="13"/>
  <c r="H55" i="13"/>
  <c r="H53" i="13"/>
  <c r="H50" i="13"/>
  <c r="H47" i="13"/>
  <c r="H44" i="13"/>
  <c r="H42" i="13"/>
  <c r="H39" i="13"/>
  <c r="H36" i="13"/>
  <c r="H33" i="13"/>
  <c r="H30" i="13"/>
  <c r="H27" i="13"/>
  <c r="H23" i="13"/>
  <c r="H21" i="13"/>
  <c r="H18" i="13"/>
  <c r="D18" i="13" l="1"/>
  <c r="D189" i="13"/>
  <c r="D186" i="13"/>
  <c r="D111" i="13"/>
  <c r="D108" i="13"/>
  <c r="D105" i="13"/>
  <c r="D102" i="13"/>
  <c r="D99" i="13"/>
  <c r="D95" i="13"/>
  <c r="D92" i="13"/>
  <c r="D88" i="13"/>
  <c r="D85" i="13"/>
  <c r="D82" i="13"/>
  <c r="D76" i="13"/>
  <c r="D79" i="13"/>
  <c r="D74" i="13"/>
  <c r="D71" i="13"/>
  <c r="D69" i="13"/>
  <c r="D66" i="13"/>
  <c r="D63" i="13"/>
  <c r="D58" i="13"/>
  <c r="D55" i="13"/>
  <c r="D53" i="13"/>
  <c r="D50" i="13"/>
  <c r="D47" i="13"/>
  <c r="D44" i="13"/>
  <c r="D42" i="13"/>
  <c r="D39" i="13"/>
  <c r="D21" i="13"/>
  <c r="D36" i="13"/>
  <c r="D33" i="13"/>
  <c r="D30" i="13"/>
  <c r="E270" i="13"/>
  <c r="E271" i="13"/>
  <c r="E272" i="13"/>
  <c r="E273" i="13"/>
  <c r="E274" i="13"/>
  <c r="E275" i="13"/>
  <c r="E269" i="13"/>
  <c r="E258" i="13"/>
  <c r="E257" i="13"/>
  <c r="B4" i="13" l="1"/>
  <c r="AB113" i="13" l="1"/>
  <c r="AB116" i="13"/>
  <c r="AB119" i="13"/>
  <c r="AB122" i="13"/>
  <c r="AB125" i="13"/>
  <c r="AB129" i="13"/>
  <c r="AB131" i="13"/>
  <c r="AB133" i="13"/>
  <c r="AB135" i="13"/>
  <c r="AB137" i="13"/>
  <c r="AB139" i="13"/>
  <c r="AB141" i="13"/>
  <c r="AB144" i="13"/>
  <c r="AB147" i="13"/>
  <c r="AB150" i="13"/>
  <c r="AB153" i="13"/>
  <c r="AB156" i="13"/>
  <c r="AB159" i="13"/>
  <c r="AB162" i="13"/>
  <c r="AB165" i="13"/>
  <c r="AB168" i="13"/>
  <c r="AB171" i="13"/>
  <c r="AB180" i="13"/>
  <c r="X113" i="13"/>
  <c r="X116" i="13"/>
  <c r="X119" i="13"/>
  <c r="X122" i="13"/>
  <c r="X125" i="13"/>
  <c r="X129" i="13"/>
  <c r="X131" i="13"/>
  <c r="X133" i="13"/>
  <c r="X135" i="13"/>
  <c r="X137" i="13"/>
  <c r="X139" i="13"/>
  <c r="X141" i="13"/>
  <c r="X144" i="13"/>
  <c r="X147" i="13"/>
  <c r="X150" i="13"/>
  <c r="X153" i="13"/>
  <c r="X156" i="13"/>
  <c r="X159" i="13"/>
  <c r="X162" i="13"/>
  <c r="X165" i="13"/>
  <c r="X168" i="13"/>
  <c r="X171" i="13"/>
  <c r="X180" i="13"/>
  <c r="T113" i="13"/>
  <c r="T116" i="13"/>
  <c r="T119" i="13"/>
  <c r="T122" i="13"/>
  <c r="T125" i="13"/>
  <c r="T129" i="13"/>
  <c r="T131" i="13"/>
  <c r="T133" i="13"/>
  <c r="T135" i="13"/>
  <c r="T137" i="13"/>
  <c r="T139" i="13"/>
  <c r="T141" i="13"/>
  <c r="T144" i="13"/>
  <c r="T147" i="13"/>
  <c r="T150" i="13"/>
  <c r="T153" i="13"/>
  <c r="T156" i="13"/>
  <c r="T159" i="13"/>
  <c r="T162" i="13"/>
  <c r="T165" i="13"/>
  <c r="T168" i="13"/>
  <c r="T171" i="13"/>
  <c r="T180" i="13"/>
  <c r="P113" i="13"/>
  <c r="P116" i="13"/>
  <c r="P119" i="13"/>
  <c r="P122" i="13"/>
  <c r="P125" i="13"/>
  <c r="P129" i="13"/>
  <c r="P131" i="13"/>
  <c r="P133" i="13"/>
  <c r="P135" i="13"/>
  <c r="P137" i="13"/>
  <c r="P139" i="13"/>
  <c r="P141" i="13"/>
  <c r="P144" i="13"/>
  <c r="P147" i="13"/>
  <c r="P150" i="13"/>
  <c r="P153" i="13"/>
  <c r="P156" i="13"/>
  <c r="P159" i="13"/>
  <c r="P162" i="13"/>
  <c r="P165" i="13"/>
  <c r="P168" i="13"/>
  <c r="P171" i="13"/>
  <c r="P180" i="13"/>
  <c r="L171" i="13"/>
  <c r="L168" i="13"/>
  <c r="L165" i="13"/>
  <c r="L162" i="13"/>
  <c r="L159" i="13"/>
  <c r="L156" i="13"/>
  <c r="L153" i="13"/>
  <c r="L150" i="13"/>
  <c r="L147" i="13"/>
  <c r="L144" i="13"/>
  <c r="L141" i="13"/>
  <c r="L139" i="13"/>
  <c r="L137" i="13"/>
  <c r="L135" i="13"/>
  <c r="L133" i="13"/>
  <c r="L131" i="13"/>
  <c r="L129" i="13"/>
  <c r="L125" i="13"/>
  <c r="E221" i="13"/>
  <c r="E220" i="13"/>
  <c r="E219" i="13"/>
  <c r="E218" i="13"/>
  <c r="C64" i="7"/>
  <c r="E213" i="13" s="1"/>
  <c r="C63" i="7"/>
  <c r="E212" i="13" s="1"/>
  <c r="C62" i="7"/>
  <c r="E211" i="13" s="1"/>
  <c r="C61" i="7"/>
  <c r="E210" i="13" s="1"/>
  <c r="D71" i="7"/>
  <c r="D72" i="7"/>
  <c r="D73" i="7"/>
  <c r="D74" i="7"/>
  <c r="O41" i="7" l="1"/>
  <c r="S90" i="13" s="1"/>
  <c r="O30" i="7"/>
  <c r="S61" i="13" s="1"/>
  <c r="N41" i="7"/>
  <c r="O90" i="13" s="1"/>
  <c r="N30" i="7"/>
  <c r="O61" i="13" s="1"/>
  <c r="Q41" i="7"/>
  <c r="AA90" i="13" s="1"/>
  <c r="Q30" i="7"/>
  <c r="AA61" i="13" s="1"/>
  <c r="P41" i="7"/>
  <c r="W90" i="13" s="1"/>
  <c r="P30" i="7"/>
  <c r="W61" i="13" s="1"/>
  <c r="F275" i="13"/>
  <c r="Q20" i="7"/>
  <c r="Q50" i="7"/>
  <c r="AA127" i="13" s="1"/>
  <c r="Q44" i="7"/>
  <c r="AA97" i="13" s="1"/>
  <c r="F274" i="13"/>
  <c r="P50" i="7"/>
  <c r="W127" i="13" s="1"/>
  <c r="P44" i="7"/>
  <c r="W97" i="13" s="1"/>
  <c r="P20" i="7"/>
  <c r="O20" i="7"/>
  <c r="O50" i="7"/>
  <c r="S127" i="13" s="1"/>
  <c r="O44" i="7"/>
  <c r="S97" i="13" s="1"/>
  <c r="N20" i="7"/>
  <c r="N50" i="7"/>
  <c r="O127" i="13" s="1"/>
  <c r="N44" i="7"/>
  <c r="O97" i="13" s="1"/>
  <c r="E62" i="7"/>
  <c r="E263" i="13" s="1"/>
  <c r="E63" i="7"/>
  <c r="F73" i="7" s="1"/>
  <c r="H73" i="7" s="1"/>
  <c r="E61" i="7"/>
  <c r="E262" i="13" s="1"/>
  <c r="E64" i="7"/>
  <c r="E265" i="13" s="1"/>
  <c r="P21" i="7"/>
  <c r="W168" i="13"/>
  <c r="P38" i="7"/>
  <c r="P29" i="7"/>
  <c r="W58" i="13" s="1"/>
  <c r="W156" i="13"/>
  <c r="P36" i="7"/>
  <c r="P17" i="7"/>
  <c r="P45" i="7"/>
  <c r="P34" i="7"/>
  <c r="W71" i="13" s="1"/>
  <c r="P25" i="7"/>
  <c r="W135" i="13"/>
  <c r="P23" i="7"/>
  <c r="W42" i="13" s="1"/>
  <c r="P49" i="7"/>
  <c r="W111" i="13" s="1"/>
  <c r="W153" i="13"/>
  <c r="W141" i="13"/>
  <c r="P40" i="7"/>
  <c r="W88" i="13" s="1"/>
  <c r="W116" i="13"/>
  <c r="P27" i="7"/>
  <c r="W53" i="13" s="1"/>
  <c r="P13" i="7"/>
  <c r="W23" i="13" s="1"/>
  <c r="P10" i="7"/>
  <c r="P48" i="7"/>
  <c r="P46" i="7"/>
  <c r="P43" i="7"/>
  <c r="W95" i="13" s="1"/>
  <c r="P39" i="7"/>
  <c r="W125" i="13"/>
  <c r="P35" i="7"/>
  <c r="W74" i="13" s="1"/>
  <c r="P33" i="7"/>
  <c r="W69" i="13" s="1"/>
  <c r="P31" i="7"/>
  <c r="P26" i="7"/>
  <c r="P22" i="7"/>
  <c r="P19" i="7"/>
  <c r="W186" i="13" s="1"/>
  <c r="P15" i="7"/>
  <c r="P12" i="7"/>
  <c r="W180" i="13" s="1"/>
  <c r="F212" i="13" s="1"/>
  <c r="H212" i="13" s="1"/>
  <c r="F273" i="13"/>
  <c r="W172" i="13"/>
  <c r="P47" i="7"/>
  <c r="W148" i="13"/>
  <c r="P42" i="7"/>
  <c r="W129" i="13"/>
  <c r="P37" i="7"/>
  <c r="P32" i="7"/>
  <c r="P28" i="7"/>
  <c r="O26" i="7"/>
  <c r="S50" i="13" s="1"/>
  <c r="P24" i="7"/>
  <c r="P18" i="7"/>
  <c r="P16" i="7"/>
  <c r="P14" i="7"/>
  <c r="W25" i="13" s="1"/>
  <c r="P11" i="7"/>
  <c r="W21" i="13" s="1"/>
  <c r="AA153" i="13"/>
  <c r="Q27" i="7"/>
  <c r="AA53" i="13" s="1"/>
  <c r="Q40" i="7"/>
  <c r="AA88" i="13" s="1"/>
  <c r="Q49" i="7"/>
  <c r="AA111" i="13" s="1"/>
  <c r="AA116" i="13"/>
  <c r="AA141" i="13"/>
  <c r="Q13" i="7"/>
  <c r="AA23" i="13" s="1"/>
  <c r="Q22" i="7"/>
  <c r="Q48" i="7"/>
  <c r="Q46" i="7"/>
  <c r="Q43" i="7"/>
  <c r="AA95" i="13" s="1"/>
  <c r="Q39" i="7"/>
  <c r="AA125" i="13"/>
  <c r="Q35" i="7"/>
  <c r="AA74" i="13" s="1"/>
  <c r="Q33" i="7"/>
  <c r="AA69" i="13" s="1"/>
  <c r="Q31" i="7"/>
  <c r="Q26" i="7"/>
  <c r="Q19" i="7"/>
  <c r="AA186" i="13" s="1"/>
  <c r="Q10" i="7"/>
  <c r="Q24" i="7"/>
  <c r="Q18" i="7"/>
  <c r="Q16" i="7"/>
  <c r="Q14" i="7"/>
  <c r="AA25" i="13" s="1"/>
  <c r="Q11" i="7"/>
  <c r="AA21" i="13" s="1"/>
  <c r="Q12" i="7"/>
  <c r="AA180" i="13" s="1"/>
  <c r="F213" i="13" s="1"/>
  <c r="H213" i="13" s="1"/>
  <c r="AA172" i="13"/>
  <c r="Q47" i="7"/>
  <c r="AA148" i="13"/>
  <c r="Q42" i="7"/>
  <c r="AA129" i="13"/>
  <c r="Q37" i="7"/>
  <c r="Q32" i="7"/>
  <c r="Q28" i="7"/>
  <c r="Q25" i="7"/>
  <c r="Q23" i="7"/>
  <c r="AA42" i="13" s="1"/>
  <c r="Q21" i="7"/>
  <c r="Q17" i="7"/>
  <c r="Q15" i="7"/>
  <c r="AA168" i="13"/>
  <c r="AA156" i="13"/>
  <c r="Q45" i="7"/>
  <c r="AA135" i="13"/>
  <c r="Q38" i="7"/>
  <c r="Q36" i="7"/>
  <c r="Q34" i="7"/>
  <c r="Q29" i="7"/>
  <c r="N13" i="7"/>
  <c r="O23" i="13" s="1"/>
  <c r="F272" i="13"/>
  <c r="O16" i="7"/>
  <c r="O11" i="7"/>
  <c r="S21" i="13" s="1"/>
  <c r="O46" i="7"/>
  <c r="O39" i="7"/>
  <c r="O35" i="7"/>
  <c r="O31" i="7"/>
  <c r="N11" i="7"/>
  <c r="O21" i="13" s="1"/>
  <c r="O168" i="13"/>
  <c r="N29" i="7"/>
  <c r="N46" i="7"/>
  <c r="N26" i="7"/>
  <c r="O50" i="13" s="1"/>
  <c r="N45" i="7"/>
  <c r="N39" i="7"/>
  <c r="N38" i="7"/>
  <c r="N31" i="7"/>
  <c r="N35" i="7"/>
  <c r="N16" i="7"/>
  <c r="N10" i="7"/>
  <c r="N34" i="7"/>
  <c r="O47" i="7"/>
  <c r="O42" i="7"/>
  <c r="O37" i="7"/>
  <c r="O32" i="7"/>
  <c r="O28" i="7"/>
  <c r="O23" i="7"/>
  <c r="S42" i="13" s="1"/>
  <c r="O17" i="7"/>
  <c r="O49" i="7"/>
  <c r="S111" i="13" s="1"/>
  <c r="O19" i="7"/>
  <c r="S186" i="13" s="1"/>
  <c r="O15" i="7"/>
  <c r="S135" i="13"/>
  <c r="O36" i="7"/>
  <c r="O13" i="7"/>
  <c r="S23" i="13" s="1"/>
  <c r="S129" i="13"/>
  <c r="O25" i="7"/>
  <c r="O21" i="7"/>
  <c r="O48" i="7"/>
  <c r="O43" i="7"/>
  <c r="S125" i="13"/>
  <c r="O33" i="7"/>
  <c r="S69" i="13" s="1"/>
  <c r="O24" i="7"/>
  <c r="O18" i="7"/>
  <c r="O14" i="7"/>
  <c r="S25" i="13" s="1"/>
  <c r="O40" i="7"/>
  <c r="O27" i="7"/>
  <c r="S53" i="13" s="1"/>
  <c r="O22" i="7"/>
  <c r="O12" i="7"/>
  <c r="S180" i="13" s="1"/>
  <c r="F211" i="13" s="1"/>
  <c r="H211" i="13" s="1"/>
  <c r="O10" i="7"/>
  <c r="O45" i="7"/>
  <c r="O38" i="7"/>
  <c r="O34" i="7"/>
  <c r="O29" i="7"/>
  <c r="N40" i="7"/>
  <c r="N27" i="7"/>
  <c r="O53" i="13" s="1"/>
  <c r="N22" i="7"/>
  <c r="N12" i="7"/>
  <c r="O180" i="13" s="1"/>
  <c r="F210" i="13" s="1"/>
  <c r="H210" i="13" s="1"/>
  <c r="O129" i="13"/>
  <c r="N25" i="7"/>
  <c r="N21" i="7"/>
  <c r="N49" i="7"/>
  <c r="O111" i="13" s="1"/>
  <c r="N19" i="7"/>
  <c r="O186" i="13" s="1"/>
  <c r="N15" i="7"/>
  <c r="N48" i="7"/>
  <c r="N43" i="7"/>
  <c r="O125" i="13"/>
  <c r="N33" i="7"/>
  <c r="O69" i="13" s="1"/>
  <c r="N24" i="7"/>
  <c r="N18" i="7"/>
  <c r="N14" i="7"/>
  <c r="O25" i="13" s="1"/>
  <c r="N47" i="7"/>
  <c r="N42" i="7"/>
  <c r="N37" i="7"/>
  <c r="N32" i="7"/>
  <c r="O66" i="13" s="1"/>
  <c r="N28" i="7"/>
  <c r="N23" i="7"/>
  <c r="O42" i="13" s="1"/>
  <c r="N17" i="7"/>
  <c r="O135" i="13"/>
  <c r="N36" i="7"/>
  <c r="AA189" i="13" l="1"/>
  <c r="AA190" i="13"/>
  <c r="S28" i="13"/>
  <c r="S27" i="13"/>
  <c r="W28" i="13"/>
  <c r="W27" i="13"/>
  <c r="O28" i="13"/>
  <c r="O27" i="13"/>
  <c r="W190" i="13"/>
  <c r="W189" i="13"/>
  <c r="O190" i="13"/>
  <c r="O189" i="13"/>
  <c r="S190" i="13"/>
  <c r="S189" i="13"/>
  <c r="AA27" i="13"/>
  <c r="AA28" i="13"/>
  <c r="O51" i="7"/>
  <c r="Q51" i="7"/>
  <c r="P51" i="7"/>
  <c r="N51" i="7"/>
  <c r="W188" i="13"/>
  <c r="W187" i="13"/>
  <c r="O187" i="13"/>
  <c r="O188" i="13"/>
  <c r="AA188" i="13"/>
  <c r="AA187" i="13"/>
  <c r="S187" i="13"/>
  <c r="S188" i="13"/>
  <c r="AA59" i="13"/>
  <c r="AA58" i="13"/>
  <c r="AA30" i="13"/>
  <c r="AA31" i="13"/>
  <c r="AA64" i="13"/>
  <c r="AA63" i="13"/>
  <c r="AA40" i="13"/>
  <c r="AA39" i="13"/>
  <c r="W63" i="13"/>
  <c r="W64" i="13"/>
  <c r="W18" i="13"/>
  <c r="W19" i="13"/>
  <c r="W34" i="13"/>
  <c r="W33" i="13"/>
  <c r="W59" i="13"/>
  <c r="AA100" i="13"/>
  <c r="AA99" i="13"/>
  <c r="AA66" i="13"/>
  <c r="AA67" i="13"/>
  <c r="AA92" i="13"/>
  <c r="AA93" i="13"/>
  <c r="AA37" i="13"/>
  <c r="AA36" i="13"/>
  <c r="W36" i="13"/>
  <c r="W37" i="13"/>
  <c r="W56" i="13"/>
  <c r="W55" i="13"/>
  <c r="W79" i="13"/>
  <c r="W80" i="13"/>
  <c r="W106" i="13"/>
  <c r="W105" i="13"/>
  <c r="W39" i="13"/>
  <c r="W40" i="13"/>
  <c r="AA77" i="13"/>
  <c r="AA76" i="13"/>
  <c r="AA47" i="13"/>
  <c r="AA48" i="13"/>
  <c r="AA50" i="13"/>
  <c r="AA51" i="13"/>
  <c r="AA103" i="13"/>
  <c r="AA102" i="13"/>
  <c r="W50" i="13"/>
  <c r="W51" i="13"/>
  <c r="W102" i="13"/>
  <c r="W103" i="13"/>
  <c r="W72" i="13"/>
  <c r="W77" i="13"/>
  <c r="W76" i="13"/>
  <c r="S58" i="13"/>
  <c r="S59" i="13"/>
  <c r="S37" i="13"/>
  <c r="S36" i="13"/>
  <c r="AA18" i="13"/>
  <c r="AA19" i="13"/>
  <c r="AA85" i="13"/>
  <c r="AA86" i="13"/>
  <c r="W30" i="13"/>
  <c r="W31" i="13"/>
  <c r="W85" i="13"/>
  <c r="W86" i="13"/>
  <c r="AA72" i="13"/>
  <c r="AA71" i="13"/>
  <c r="W47" i="13"/>
  <c r="W48" i="13"/>
  <c r="W83" i="13"/>
  <c r="W82" i="13"/>
  <c r="AA83" i="13"/>
  <c r="AA82" i="13"/>
  <c r="AA34" i="13"/>
  <c r="AA33" i="13"/>
  <c r="AA56" i="13"/>
  <c r="AA55" i="13"/>
  <c r="AA80" i="13"/>
  <c r="AA79" i="13"/>
  <c r="AA106" i="13"/>
  <c r="AA105" i="13"/>
  <c r="AA45" i="13"/>
  <c r="AA44" i="13"/>
  <c r="AA108" i="13"/>
  <c r="AA109" i="13"/>
  <c r="W45" i="13"/>
  <c r="W44" i="13"/>
  <c r="W67" i="13"/>
  <c r="W66" i="13"/>
  <c r="W92" i="13"/>
  <c r="W93" i="13"/>
  <c r="W109" i="13"/>
  <c r="W108" i="13"/>
  <c r="W100" i="13"/>
  <c r="W99" i="13"/>
  <c r="O36" i="13"/>
  <c r="O37" i="13"/>
  <c r="O58" i="13"/>
  <c r="O59" i="13"/>
  <c r="O56" i="13"/>
  <c r="O55" i="13"/>
  <c r="O106" i="13"/>
  <c r="O105" i="13"/>
  <c r="O109" i="13"/>
  <c r="O108" i="13"/>
  <c r="O34" i="13"/>
  <c r="O33" i="13"/>
  <c r="O80" i="13"/>
  <c r="O79" i="13"/>
  <c r="O40" i="13"/>
  <c r="O39" i="13"/>
  <c r="S19" i="13"/>
  <c r="S18" i="13"/>
  <c r="S77" i="13"/>
  <c r="S76" i="13"/>
  <c r="S33" i="13"/>
  <c r="S34" i="13"/>
  <c r="S79" i="13"/>
  <c r="S80" i="13"/>
  <c r="O72" i="13"/>
  <c r="O71" i="13"/>
  <c r="O64" i="13"/>
  <c r="O63" i="13"/>
  <c r="O144" i="13"/>
  <c r="O100" i="13"/>
  <c r="O99" i="13"/>
  <c r="S131" i="13"/>
  <c r="S85" i="13"/>
  <c r="S86" i="13"/>
  <c r="AA131" i="13"/>
  <c r="S51" i="13"/>
  <c r="O137" i="13"/>
  <c r="O93" i="13"/>
  <c r="O92" i="13"/>
  <c r="O45" i="13"/>
  <c r="O44" i="13"/>
  <c r="S72" i="13"/>
  <c r="S71" i="13"/>
  <c r="S45" i="13"/>
  <c r="S44" i="13"/>
  <c r="S47" i="13"/>
  <c r="S48" i="13"/>
  <c r="S137" i="13"/>
  <c r="S93" i="13"/>
  <c r="S92" i="13"/>
  <c r="O19" i="13"/>
  <c r="O18" i="13"/>
  <c r="O83" i="13"/>
  <c r="O82" i="13"/>
  <c r="O51" i="13"/>
  <c r="S150" i="13"/>
  <c r="S103" i="13"/>
  <c r="S102" i="13"/>
  <c r="AA144" i="13"/>
  <c r="AA137" i="13"/>
  <c r="O77" i="13"/>
  <c r="O76" i="13"/>
  <c r="O48" i="13"/>
  <c r="O47" i="13"/>
  <c r="S83" i="13"/>
  <c r="S82" i="13"/>
  <c r="S109" i="13"/>
  <c r="S108" i="13"/>
  <c r="S56" i="13"/>
  <c r="S55" i="13"/>
  <c r="S105" i="13"/>
  <c r="S106" i="13"/>
  <c r="O31" i="13"/>
  <c r="O30" i="13"/>
  <c r="O150" i="13"/>
  <c r="O103" i="13"/>
  <c r="O102" i="13"/>
  <c r="S64" i="13"/>
  <c r="S63" i="13"/>
  <c r="AA119" i="13"/>
  <c r="AA150" i="13"/>
  <c r="W150" i="13"/>
  <c r="W119" i="13"/>
  <c r="O67" i="13"/>
  <c r="S99" i="13"/>
  <c r="S100" i="13"/>
  <c r="S40" i="13"/>
  <c r="S39" i="13"/>
  <c r="S67" i="13"/>
  <c r="S66" i="13"/>
  <c r="O131" i="13"/>
  <c r="O86" i="13"/>
  <c r="O85" i="13"/>
  <c r="S30" i="13"/>
  <c r="S31" i="13"/>
  <c r="AA122" i="13"/>
  <c r="AA160" i="13"/>
  <c r="AA162" i="13"/>
  <c r="W162" i="13"/>
  <c r="W144" i="13"/>
  <c r="E203" i="13"/>
  <c r="AA165" i="13"/>
  <c r="O139" i="13"/>
  <c r="O95" i="13"/>
  <c r="S139" i="13"/>
  <c r="S95" i="13"/>
  <c r="AA139" i="13"/>
  <c r="AA133" i="13"/>
  <c r="S133" i="13"/>
  <c r="S88" i="13"/>
  <c r="O133" i="13"/>
  <c r="O88" i="13"/>
  <c r="AA113" i="13"/>
  <c r="O114" i="13"/>
  <c r="O74" i="13"/>
  <c r="S113" i="13"/>
  <c r="S74" i="13"/>
  <c r="F72" i="7"/>
  <c r="H72" i="7" s="1"/>
  <c r="W133" i="13"/>
  <c r="W137" i="13"/>
  <c r="W113" i="13"/>
  <c r="W122" i="13"/>
  <c r="W160" i="13"/>
  <c r="W131" i="13"/>
  <c r="W165" i="13"/>
  <c r="W139" i="13"/>
  <c r="AA151" i="13"/>
  <c r="W157" i="13"/>
  <c r="W169" i="13"/>
  <c r="W154" i="13"/>
  <c r="AA120" i="13"/>
  <c r="AA147" i="13"/>
  <c r="AA159" i="13"/>
  <c r="AA169" i="13"/>
  <c r="W163" i="13"/>
  <c r="E204" i="13"/>
  <c r="E264" i="13"/>
  <c r="F71" i="7"/>
  <c r="H71" i="7" s="1"/>
  <c r="E202" i="13"/>
  <c r="E205" i="13"/>
  <c r="F74" i="7"/>
  <c r="H74" i="7" s="1"/>
  <c r="AA114" i="13"/>
  <c r="AA157" i="13"/>
  <c r="AA117" i="13"/>
  <c r="W117" i="13"/>
  <c r="W120" i="13"/>
  <c r="W147" i="13"/>
  <c r="W159" i="13"/>
  <c r="S151" i="13"/>
  <c r="W123" i="13"/>
  <c r="W166" i="13"/>
  <c r="W145" i="13"/>
  <c r="AA123" i="13"/>
  <c r="AA163" i="13"/>
  <c r="AA171" i="13"/>
  <c r="W171" i="13"/>
  <c r="O145" i="13"/>
  <c r="AA142" i="13"/>
  <c r="O169" i="13"/>
  <c r="W151" i="13"/>
  <c r="W114" i="13"/>
  <c r="W142" i="13"/>
  <c r="AA154" i="13"/>
  <c r="AA166" i="13"/>
  <c r="AA145" i="13"/>
  <c r="O113" i="13"/>
  <c r="O151" i="13"/>
  <c r="S114" i="13"/>
  <c r="S153" i="13"/>
  <c r="S154" i="13"/>
  <c r="S162" i="13"/>
  <c r="S163" i="13"/>
  <c r="S120" i="13"/>
  <c r="S119" i="13"/>
  <c r="S147" i="13"/>
  <c r="S148" i="13"/>
  <c r="S141" i="13"/>
  <c r="S142" i="13"/>
  <c r="S123" i="13"/>
  <c r="S122" i="13"/>
  <c r="S168" i="13"/>
  <c r="S169" i="13"/>
  <c r="S116" i="13"/>
  <c r="S117" i="13"/>
  <c r="S171" i="13"/>
  <c r="S172" i="13"/>
  <c r="S156" i="13"/>
  <c r="S157" i="13"/>
  <c r="S165" i="13"/>
  <c r="S166" i="13"/>
  <c r="S144" i="13"/>
  <c r="S145" i="13"/>
  <c r="S159" i="13"/>
  <c r="S160" i="13"/>
  <c r="O162" i="13"/>
  <c r="O163" i="13"/>
  <c r="O116" i="13"/>
  <c r="O117" i="13"/>
  <c r="O172" i="13"/>
  <c r="O171" i="13"/>
  <c r="O159" i="13"/>
  <c r="O160" i="13"/>
  <c r="O141" i="13"/>
  <c r="O142" i="13"/>
  <c r="O153" i="13"/>
  <c r="O154" i="13"/>
  <c r="O120" i="13"/>
  <c r="O119" i="13"/>
  <c r="O165" i="13"/>
  <c r="O166" i="13"/>
  <c r="O156" i="13"/>
  <c r="O157" i="13"/>
  <c r="O123" i="13"/>
  <c r="O122" i="13"/>
  <c r="O147" i="13"/>
  <c r="O148" i="13"/>
  <c r="D70" i="7"/>
  <c r="D68" i="7"/>
  <c r="H202" i="13" l="1"/>
  <c r="G202" i="13"/>
  <c r="H205" i="13"/>
  <c r="H204" i="13"/>
  <c r="G203" i="13"/>
  <c r="H203" i="13"/>
  <c r="G205" i="13"/>
  <c r="G204" i="13"/>
  <c r="H218" i="13"/>
  <c r="G221" i="13"/>
  <c r="L41" i="7"/>
  <c r="G90" i="13" s="1"/>
  <c r="L30" i="7"/>
  <c r="G61" i="13" s="1"/>
  <c r="M41" i="7"/>
  <c r="K90" i="13" s="1"/>
  <c r="M30" i="7"/>
  <c r="K61" i="13" s="1"/>
  <c r="K41" i="7"/>
  <c r="K30" i="7"/>
  <c r="G219" i="13"/>
  <c r="H219" i="13"/>
  <c r="H220" i="13"/>
  <c r="G220" i="13"/>
  <c r="G218" i="13"/>
  <c r="H221" i="13"/>
  <c r="F271" i="13"/>
  <c r="M20" i="7"/>
  <c r="M50" i="7"/>
  <c r="K127" i="13" s="1"/>
  <c r="M44" i="7"/>
  <c r="K97" i="13" s="1"/>
  <c r="F270" i="13"/>
  <c r="L50" i="7"/>
  <c r="G127" i="13" s="1"/>
  <c r="L44" i="7"/>
  <c r="G97" i="13" s="1"/>
  <c r="L20" i="7"/>
  <c r="F269" i="13"/>
  <c r="K50" i="7"/>
  <c r="C127" i="13" s="1"/>
  <c r="K44" i="7"/>
  <c r="C97" i="13" s="1"/>
  <c r="K20" i="7"/>
  <c r="C187" i="13" s="1"/>
  <c r="C60" i="7"/>
  <c r="C59" i="7"/>
  <c r="C58" i="7"/>
  <c r="F218" i="13" l="1"/>
  <c r="C61" i="13"/>
  <c r="AC61" i="13" s="1"/>
  <c r="R30" i="7"/>
  <c r="R41" i="7"/>
  <c r="C90" i="13"/>
  <c r="F219" i="13"/>
  <c r="F220" i="13"/>
  <c r="AC97" i="13"/>
  <c r="G188" i="13"/>
  <c r="G187" i="13"/>
  <c r="R44" i="7"/>
  <c r="R50" i="7"/>
  <c r="K187" i="13"/>
  <c r="K188" i="13"/>
  <c r="R20" i="7"/>
  <c r="C188" i="13"/>
  <c r="F221" i="13"/>
  <c r="F205" i="13"/>
  <c r="C65" i="7"/>
  <c r="B65" i="7"/>
  <c r="D65" i="7"/>
  <c r="F203" i="13"/>
  <c r="D139" i="13"/>
  <c r="D137" i="13"/>
  <c r="L122" i="13"/>
  <c r="L119" i="13"/>
  <c r="L116" i="13"/>
  <c r="L113" i="13"/>
  <c r="H171" i="13"/>
  <c r="H168" i="13"/>
  <c r="H165" i="13"/>
  <c r="H162" i="13"/>
  <c r="H159" i="13"/>
  <c r="H156" i="13"/>
  <c r="H153" i="13"/>
  <c r="H150" i="13"/>
  <c r="H147" i="13"/>
  <c r="H144" i="13"/>
  <c r="H141" i="13"/>
  <c r="H139" i="13"/>
  <c r="H137" i="13"/>
  <c r="H135" i="13"/>
  <c r="H133" i="13"/>
  <c r="H131" i="13"/>
  <c r="H129" i="13"/>
  <c r="H125" i="13"/>
  <c r="H122" i="13"/>
  <c r="H119" i="13"/>
  <c r="H116" i="13"/>
  <c r="H113" i="13"/>
  <c r="M42" i="7"/>
  <c r="M43" i="7"/>
  <c r="L42" i="7"/>
  <c r="L43" i="7"/>
  <c r="K42" i="7"/>
  <c r="K43" i="7"/>
  <c r="C95" i="13" s="1"/>
  <c r="AC90" i="13" l="1"/>
  <c r="K137" i="13"/>
  <c r="K92" i="13"/>
  <c r="K93" i="13"/>
  <c r="K139" i="13"/>
  <c r="K95" i="13"/>
  <c r="G139" i="13"/>
  <c r="G95" i="13"/>
  <c r="C92" i="13"/>
  <c r="C93" i="13"/>
  <c r="G137" i="13"/>
  <c r="G93" i="13"/>
  <c r="G92" i="13"/>
  <c r="C139" i="13"/>
  <c r="R43" i="7"/>
  <c r="C137" i="13"/>
  <c r="R42" i="7"/>
  <c r="AC95" i="13" l="1"/>
  <c r="AC139" i="13"/>
  <c r="AC137" i="13"/>
  <c r="L180" i="13" l="1"/>
  <c r="H180" i="13"/>
  <c r="D180" i="13"/>
  <c r="D171" i="13"/>
  <c r="D168" i="13"/>
  <c r="D165" i="13"/>
  <c r="D162" i="13"/>
  <c r="D159" i="13"/>
  <c r="D156" i="13"/>
  <c r="D153" i="13"/>
  <c r="D150" i="13"/>
  <c r="D147" i="13"/>
  <c r="D144" i="13"/>
  <c r="D141" i="13"/>
  <c r="D135" i="13"/>
  <c r="D133" i="13"/>
  <c r="D131" i="13"/>
  <c r="D129" i="13"/>
  <c r="D125" i="13"/>
  <c r="D122" i="13"/>
  <c r="D119" i="13"/>
  <c r="D116" i="13"/>
  <c r="D113" i="13"/>
  <c r="D23" i="13"/>
  <c r="M32" i="7"/>
  <c r="M33" i="7"/>
  <c r="K69" i="13" s="1"/>
  <c r="M34" i="7"/>
  <c r="M35" i="7"/>
  <c r="K74" i="13" s="1"/>
  <c r="M36" i="7"/>
  <c r="M37" i="7"/>
  <c r="K125" i="13"/>
  <c r="M38" i="7"/>
  <c r="K129" i="13"/>
  <c r="M39" i="7"/>
  <c r="M40" i="7"/>
  <c r="K135" i="13"/>
  <c r="M45" i="7"/>
  <c r="M46" i="7"/>
  <c r="M47" i="7"/>
  <c r="M48" i="7"/>
  <c r="M49" i="7"/>
  <c r="K111" i="13" s="1"/>
  <c r="L32" i="7"/>
  <c r="L33" i="7"/>
  <c r="G69" i="13" s="1"/>
  <c r="L34" i="7"/>
  <c r="L35" i="7"/>
  <c r="G74" i="13" s="1"/>
  <c r="L36" i="7"/>
  <c r="L37" i="7"/>
  <c r="G125" i="13"/>
  <c r="L38" i="7"/>
  <c r="G129" i="13"/>
  <c r="L39" i="7"/>
  <c r="L40" i="7"/>
  <c r="G88" i="13" s="1"/>
  <c r="G135" i="13"/>
  <c r="L45" i="7"/>
  <c r="G148" i="13"/>
  <c r="L46" i="7"/>
  <c r="L47" i="7"/>
  <c r="L48" i="7"/>
  <c r="L49" i="7"/>
  <c r="G111" i="13" s="1"/>
  <c r="K32" i="7"/>
  <c r="K33" i="7"/>
  <c r="C69" i="13" s="1"/>
  <c r="K34" i="7"/>
  <c r="K35" i="7"/>
  <c r="C74" i="13" s="1"/>
  <c r="K36" i="7"/>
  <c r="K37" i="7"/>
  <c r="K38" i="7"/>
  <c r="K39" i="7"/>
  <c r="K40" i="7"/>
  <c r="C88" i="13" s="1"/>
  <c r="K45" i="7"/>
  <c r="K46" i="7"/>
  <c r="K47" i="7"/>
  <c r="K48" i="7"/>
  <c r="K49" i="7"/>
  <c r="C111" i="13" s="1"/>
  <c r="M10" i="7"/>
  <c r="L10" i="7"/>
  <c r="K10" i="7"/>
  <c r="AC69" i="13" l="1"/>
  <c r="K100" i="13"/>
  <c r="K99" i="13"/>
  <c r="K80" i="13"/>
  <c r="K79" i="13"/>
  <c r="K72" i="13"/>
  <c r="K71" i="13"/>
  <c r="K109" i="13"/>
  <c r="K108" i="13"/>
  <c r="K83" i="13"/>
  <c r="K82" i="13"/>
  <c r="K76" i="13"/>
  <c r="K77" i="13"/>
  <c r="K106" i="13"/>
  <c r="K105" i="13"/>
  <c r="K103" i="13"/>
  <c r="K102" i="13"/>
  <c r="K131" i="13"/>
  <c r="K86" i="13"/>
  <c r="K85" i="13"/>
  <c r="K66" i="13"/>
  <c r="K67" i="13"/>
  <c r="AC111" i="13"/>
  <c r="AC74" i="13"/>
  <c r="K133" i="13"/>
  <c r="K88" i="13"/>
  <c r="K18" i="13"/>
  <c r="K19" i="13"/>
  <c r="C82" i="13"/>
  <c r="C83" i="13"/>
  <c r="C66" i="13"/>
  <c r="C67" i="13"/>
  <c r="C19" i="13"/>
  <c r="C18" i="13"/>
  <c r="C108" i="13"/>
  <c r="C109" i="13"/>
  <c r="C76" i="13"/>
  <c r="C77" i="13"/>
  <c r="G109" i="13"/>
  <c r="G108" i="13"/>
  <c r="G100" i="13"/>
  <c r="G99" i="13"/>
  <c r="G76" i="13"/>
  <c r="G77" i="13"/>
  <c r="G19" i="13"/>
  <c r="G18" i="13"/>
  <c r="C106" i="13"/>
  <c r="C105" i="13"/>
  <c r="C86" i="13"/>
  <c r="C85" i="13"/>
  <c r="G106" i="13"/>
  <c r="G105" i="13"/>
  <c r="G83" i="13"/>
  <c r="G82" i="13"/>
  <c r="C102" i="13"/>
  <c r="C103" i="13"/>
  <c r="G103" i="13"/>
  <c r="G102" i="13"/>
  <c r="G67" i="13"/>
  <c r="G66" i="13"/>
  <c r="C100" i="13"/>
  <c r="C99" i="13"/>
  <c r="C80" i="13"/>
  <c r="C79" i="13"/>
  <c r="C71" i="13"/>
  <c r="C72" i="13"/>
  <c r="G131" i="13"/>
  <c r="G86" i="13"/>
  <c r="G85" i="13"/>
  <c r="G80" i="13"/>
  <c r="G79" i="13"/>
  <c r="G71" i="13"/>
  <c r="G72" i="13"/>
  <c r="R49" i="7"/>
  <c r="R37" i="7"/>
  <c r="R32" i="7"/>
  <c r="R47" i="7"/>
  <c r="R46" i="7"/>
  <c r="R38" i="7"/>
  <c r="R34" i="7"/>
  <c r="K172" i="13"/>
  <c r="K171" i="13"/>
  <c r="K148" i="13"/>
  <c r="K147" i="13"/>
  <c r="K169" i="13"/>
  <c r="K168" i="13"/>
  <c r="K145" i="13"/>
  <c r="K144" i="13"/>
  <c r="R45" i="7"/>
  <c r="R33" i="7"/>
  <c r="K166" i="13"/>
  <c r="K165" i="13"/>
  <c r="K142" i="13"/>
  <c r="K141" i="13"/>
  <c r="K122" i="13"/>
  <c r="K123" i="13"/>
  <c r="K162" i="13"/>
  <c r="K163" i="13"/>
  <c r="K120" i="13"/>
  <c r="K119" i="13"/>
  <c r="R48" i="7"/>
  <c r="K160" i="13"/>
  <c r="K159" i="13"/>
  <c r="K151" i="13"/>
  <c r="K150" i="13"/>
  <c r="R36" i="7"/>
  <c r="K157" i="13"/>
  <c r="K156" i="13"/>
  <c r="K114" i="13"/>
  <c r="K113" i="13"/>
  <c r="R10" i="7"/>
  <c r="R39" i="7"/>
  <c r="R35" i="7"/>
  <c r="K154" i="13"/>
  <c r="K153" i="13"/>
  <c r="C133" i="13"/>
  <c r="R40" i="7"/>
  <c r="G162" i="13"/>
  <c r="G163" i="13"/>
  <c r="C142" i="13"/>
  <c r="C141" i="13"/>
  <c r="C122" i="13"/>
  <c r="C123" i="13"/>
  <c r="C162" i="13"/>
  <c r="C163" i="13"/>
  <c r="C150" i="13"/>
  <c r="C151" i="13"/>
  <c r="C135" i="13"/>
  <c r="AC135" i="13" s="1"/>
  <c r="C120" i="13"/>
  <c r="C119" i="13"/>
  <c r="G172" i="13"/>
  <c r="G171" i="13"/>
  <c r="G160" i="13"/>
  <c r="G159" i="13"/>
  <c r="G147" i="13"/>
  <c r="G133" i="13"/>
  <c r="G117" i="13"/>
  <c r="G116" i="13"/>
  <c r="K117" i="13"/>
  <c r="K116" i="13"/>
  <c r="C166" i="13"/>
  <c r="C165" i="13"/>
  <c r="C172" i="13"/>
  <c r="C171" i="13"/>
  <c r="C116" i="13"/>
  <c r="C117" i="13"/>
  <c r="G169" i="13"/>
  <c r="G168" i="13"/>
  <c r="G145" i="13"/>
  <c r="G144" i="13"/>
  <c r="G113" i="13"/>
  <c r="G114" i="13"/>
  <c r="C129" i="13"/>
  <c r="AC129" i="13" s="1"/>
  <c r="C160" i="13"/>
  <c r="C159" i="13"/>
  <c r="C147" i="13"/>
  <c r="C148" i="13"/>
  <c r="G157" i="13"/>
  <c r="G156" i="13"/>
  <c r="C168" i="13"/>
  <c r="C169" i="13"/>
  <c r="C157" i="13"/>
  <c r="C156" i="13"/>
  <c r="C144" i="13"/>
  <c r="C145" i="13"/>
  <c r="C131" i="13"/>
  <c r="C125" i="13"/>
  <c r="AC125" i="13" s="1"/>
  <c r="C114" i="13"/>
  <c r="C113" i="13"/>
  <c r="G165" i="13"/>
  <c r="G166" i="13"/>
  <c r="G153" i="13"/>
  <c r="G154" i="13"/>
  <c r="G141" i="13"/>
  <c r="G142" i="13"/>
  <c r="G123" i="13"/>
  <c r="G122" i="13"/>
  <c r="C154" i="13"/>
  <c r="C153" i="13"/>
  <c r="G151" i="13"/>
  <c r="G150" i="13"/>
  <c r="G119" i="13"/>
  <c r="G120" i="13"/>
  <c r="AC88" i="13" l="1"/>
  <c r="F202" i="13"/>
  <c r="AC131" i="13"/>
  <c r="AC148" i="13"/>
  <c r="AC168" i="13"/>
  <c r="AC160" i="13"/>
  <c r="AC103" i="13"/>
  <c r="AC100" i="13"/>
  <c r="AC153" i="13"/>
  <c r="AC99" i="13"/>
  <c r="AC156" i="13"/>
  <c r="AC163" i="13"/>
  <c r="AC157" i="13"/>
  <c r="AC145" i="13"/>
  <c r="AC147" i="13"/>
  <c r="AC172" i="13"/>
  <c r="AC141" i="13"/>
  <c r="AC165" i="13"/>
  <c r="AC114" i="13"/>
  <c r="AC109" i="13"/>
  <c r="AC162" i="13"/>
  <c r="AC142" i="13"/>
  <c r="AC93" i="13"/>
  <c r="AC116" i="13"/>
  <c r="AC105" i="13"/>
  <c r="AC106" i="13"/>
  <c r="AC113" i="13"/>
  <c r="AC169" i="13"/>
  <c r="AC159" i="13"/>
  <c r="AC166" i="13"/>
  <c r="AC119" i="13"/>
  <c r="AC85" i="13"/>
  <c r="AC154" i="13"/>
  <c r="AC120" i="13"/>
  <c r="AC86" i="13"/>
  <c r="AC117" i="13"/>
  <c r="AC92" i="13"/>
  <c r="AC133" i="13"/>
  <c r="AC151" i="13"/>
  <c r="AC123" i="13"/>
  <c r="AC108" i="13"/>
  <c r="AC144" i="13"/>
  <c r="AC102" i="13"/>
  <c r="AC171" i="13"/>
  <c r="AC150" i="13"/>
  <c r="AC122" i="13"/>
  <c r="AC127" i="13"/>
  <c r="G224" i="13" l="1"/>
  <c r="AC77" i="13" l="1"/>
  <c r="AC76" i="13"/>
  <c r="M27" i="7" l="1"/>
  <c r="K53" i="13" s="1"/>
  <c r="H224" i="13" l="1"/>
  <c r="H225" i="13"/>
  <c r="H226" i="13"/>
  <c r="G227" i="13"/>
  <c r="H227" i="13"/>
  <c r="H228" i="13"/>
  <c r="H229" i="13"/>
  <c r="L27" i="7" l="1"/>
  <c r="G53" i="13" s="1"/>
  <c r="K27" i="7"/>
  <c r="C53" i="13" s="1"/>
  <c r="AC53" i="13" l="1"/>
  <c r="R27" i="7"/>
  <c r="K16" i="7"/>
  <c r="L16" i="7"/>
  <c r="M16" i="7"/>
  <c r="M29" i="7"/>
  <c r="M31" i="7"/>
  <c r="L29" i="7"/>
  <c r="L31" i="7"/>
  <c r="K29" i="7"/>
  <c r="K31" i="7"/>
  <c r="M25" i="7"/>
  <c r="K25" i="7"/>
  <c r="L25" i="7"/>
  <c r="M26" i="7"/>
  <c r="K50" i="13" s="1"/>
  <c r="M28" i="7"/>
  <c r="L26" i="7"/>
  <c r="G50" i="13" s="1"/>
  <c r="L28" i="7"/>
  <c r="K26" i="7"/>
  <c r="C50" i="13" s="1"/>
  <c r="K28" i="7"/>
  <c r="L22" i="7"/>
  <c r="L23" i="7"/>
  <c r="G42" i="13" s="1"/>
  <c r="L21" i="7"/>
  <c r="L24" i="7"/>
  <c r="K22" i="7"/>
  <c r="C39" i="13" s="1"/>
  <c r="K23" i="7"/>
  <c r="C42" i="13" s="1"/>
  <c r="K21" i="7"/>
  <c r="K24" i="7"/>
  <c r="M24" i="7"/>
  <c r="M22" i="7"/>
  <c r="M21" i="7"/>
  <c r="M23" i="7"/>
  <c r="K42" i="13" s="1"/>
  <c r="M11" i="7"/>
  <c r="M12" i="7"/>
  <c r="K180" i="13" s="1"/>
  <c r="M13" i="7"/>
  <c r="K23" i="13" s="1"/>
  <c r="M14" i="7"/>
  <c r="K25" i="13" s="1"/>
  <c r="M15" i="7"/>
  <c r="M17" i="7"/>
  <c r="M18" i="7"/>
  <c r="M19" i="7"/>
  <c r="K186" i="13" s="1"/>
  <c r="L11" i="7"/>
  <c r="L12" i="7"/>
  <c r="G180" i="13" s="1"/>
  <c r="L13" i="7"/>
  <c r="G23" i="13" s="1"/>
  <c r="L14" i="7"/>
  <c r="G25" i="13" s="1"/>
  <c r="L15" i="7"/>
  <c r="L17" i="7"/>
  <c r="L18" i="7"/>
  <c r="L19" i="7"/>
  <c r="G186" i="13" s="1"/>
  <c r="K189" i="13" l="1"/>
  <c r="K190" i="13"/>
  <c r="K28" i="13"/>
  <c r="K27" i="13"/>
  <c r="C190" i="13"/>
  <c r="C189" i="13"/>
  <c r="G215" i="13" s="1"/>
  <c r="G28" i="13"/>
  <c r="G27" i="13"/>
  <c r="G190" i="13"/>
  <c r="G189" i="13"/>
  <c r="M51" i="7"/>
  <c r="L51" i="7"/>
  <c r="K21" i="13"/>
  <c r="G21" i="13"/>
  <c r="K37" i="13"/>
  <c r="K36" i="13"/>
  <c r="K58" i="13"/>
  <c r="K59" i="13"/>
  <c r="G37" i="13"/>
  <c r="G36" i="13"/>
  <c r="G58" i="13"/>
  <c r="G59" i="13"/>
  <c r="C58" i="13"/>
  <c r="C59" i="13"/>
  <c r="K56" i="13"/>
  <c r="K55" i="13"/>
  <c r="G217" i="13"/>
  <c r="H217" i="13"/>
  <c r="K47" i="13"/>
  <c r="K48" i="13"/>
  <c r="K64" i="13"/>
  <c r="K63" i="13"/>
  <c r="K39" i="13"/>
  <c r="K40" i="13"/>
  <c r="K51" i="13"/>
  <c r="K45" i="13"/>
  <c r="K44" i="13"/>
  <c r="AC42" i="13"/>
  <c r="H216" i="13"/>
  <c r="G216" i="13"/>
  <c r="G45" i="13"/>
  <c r="G44" i="13"/>
  <c r="C55" i="13"/>
  <c r="C56" i="13"/>
  <c r="G31" i="13"/>
  <c r="G30" i="13"/>
  <c r="K34" i="13"/>
  <c r="K33" i="13"/>
  <c r="G51" i="13"/>
  <c r="G47" i="13"/>
  <c r="G48" i="13"/>
  <c r="C63" i="13"/>
  <c r="C64" i="13"/>
  <c r="C40" i="13"/>
  <c r="F204" i="13"/>
  <c r="C51" i="13"/>
  <c r="C48" i="13"/>
  <c r="C47" i="13"/>
  <c r="K31" i="13"/>
  <c r="K30" i="13"/>
  <c r="C31" i="13"/>
  <c r="C30" i="13"/>
  <c r="G34" i="13"/>
  <c r="G33" i="13"/>
  <c r="C45" i="13"/>
  <c r="C44" i="13"/>
  <c r="G39" i="13"/>
  <c r="G40" i="13"/>
  <c r="G56" i="13"/>
  <c r="G55" i="13"/>
  <c r="G64" i="13"/>
  <c r="G63" i="13"/>
  <c r="R24" i="7"/>
  <c r="R22" i="7"/>
  <c r="R26" i="7"/>
  <c r="R31" i="7"/>
  <c r="R29" i="7"/>
  <c r="R21" i="7"/>
  <c r="R28" i="7"/>
  <c r="R23" i="7"/>
  <c r="R16" i="7"/>
  <c r="R25" i="7"/>
  <c r="I200" i="13" l="1"/>
  <c r="G200" i="13"/>
  <c r="G201" i="13"/>
  <c r="I201" i="13"/>
  <c r="H201" i="13"/>
  <c r="H200" i="13"/>
  <c r="AC64" i="13"/>
  <c r="AC63" i="13"/>
  <c r="AC189" i="13"/>
  <c r="F217" i="13"/>
  <c r="AC39" i="13"/>
  <c r="AC79" i="13"/>
  <c r="AC50" i="13"/>
  <c r="AC188" i="13"/>
  <c r="AC66" i="13"/>
  <c r="AC58" i="13"/>
  <c r="AC40" i="13"/>
  <c r="AC80" i="13"/>
  <c r="AC51" i="13"/>
  <c r="AC47" i="13"/>
  <c r="AC190" i="13"/>
  <c r="AC48" i="13"/>
  <c r="AC72" i="13"/>
  <c r="AC44" i="13"/>
  <c r="AC83" i="13"/>
  <c r="AC56" i="13"/>
  <c r="AC71" i="13"/>
  <c r="AC45" i="13"/>
  <c r="AC82" i="13"/>
  <c r="AC55" i="13"/>
  <c r="AC187" i="13"/>
  <c r="AC67" i="13"/>
  <c r="AC59" i="13"/>
  <c r="F216" i="13" l="1"/>
  <c r="G7" i="13"/>
  <c r="G6" i="13"/>
  <c r="B7" i="13"/>
  <c r="B6" i="13"/>
  <c r="C175" i="13"/>
  <c r="C174" i="13"/>
  <c r="F222" i="13" s="1"/>
  <c r="C182" i="13"/>
  <c r="C181" i="13"/>
  <c r="C193" i="13"/>
  <c r="C192" i="13"/>
  <c r="F208" i="13"/>
  <c r="F209" i="13"/>
  <c r="E217" i="13"/>
  <c r="E60" i="7"/>
  <c r="E207" i="13"/>
  <c r="F70" i="7" l="1"/>
  <c r="E261" i="13"/>
  <c r="E215" i="13"/>
  <c r="E58" i="7"/>
  <c r="E259" i="13" s="1"/>
  <c r="E208" i="13"/>
  <c r="E59" i="7"/>
  <c r="F69" i="7" s="1"/>
  <c r="H69" i="7" s="1"/>
  <c r="E216" i="13"/>
  <c r="E209" i="13"/>
  <c r="H76" i="7"/>
  <c r="K14" i="7"/>
  <c r="K17" i="7"/>
  <c r="K18" i="7"/>
  <c r="C36" i="13" s="1"/>
  <c r="K11" i="7"/>
  <c r="K13" i="7"/>
  <c r="R13" i="7" s="1"/>
  <c r="K19" i="7"/>
  <c r="K12" i="7"/>
  <c r="K15" i="7"/>
  <c r="H208" i="13"/>
  <c r="H209" i="13"/>
  <c r="C28" i="13" l="1"/>
  <c r="C27" i="13"/>
  <c r="E260" i="13"/>
  <c r="R14" i="7"/>
  <c r="C25" i="13"/>
  <c r="AC25" i="13" s="1"/>
  <c r="K51" i="7"/>
  <c r="R19" i="7"/>
  <c r="C186" i="13"/>
  <c r="R11" i="7"/>
  <c r="C21" i="13"/>
  <c r="R18" i="7"/>
  <c r="C37" i="13"/>
  <c r="AC37" i="13" s="1"/>
  <c r="AC36" i="13"/>
  <c r="R15" i="7"/>
  <c r="R17" i="7"/>
  <c r="C33" i="13"/>
  <c r="AC33" i="13" s="1"/>
  <c r="C34" i="13"/>
  <c r="AC34" i="13" s="1"/>
  <c r="D235" i="13"/>
  <c r="E199" i="13"/>
  <c r="E65" i="7"/>
  <c r="F68" i="7"/>
  <c r="D236" i="13"/>
  <c r="C180" i="13"/>
  <c r="AC180" i="13" s="1"/>
  <c r="R12" i="7"/>
  <c r="AC30" i="13"/>
  <c r="AC31" i="13"/>
  <c r="C23" i="13"/>
  <c r="AC19" i="13"/>
  <c r="AC18" i="13"/>
  <c r="AC27" i="13"/>
  <c r="E201" i="13"/>
  <c r="E200" i="13"/>
  <c r="H70" i="7"/>
  <c r="I199" i="13" l="1"/>
  <c r="I223" i="13" s="1"/>
  <c r="I230" i="13" s="1"/>
  <c r="E255" i="13" s="1"/>
  <c r="AC23" i="13"/>
  <c r="G199" i="13"/>
  <c r="G223" i="13" s="1"/>
  <c r="G230" i="13" s="1"/>
  <c r="E253" i="13" s="1"/>
  <c r="AC28" i="13"/>
  <c r="H199" i="13"/>
  <c r="H215" i="13"/>
  <c r="F215" i="13" s="1"/>
  <c r="R51" i="7"/>
  <c r="AC21" i="13"/>
  <c r="AC15" i="13"/>
  <c r="AC16" i="13"/>
  <c r="AC186" i="13"/>
  <c r="F75" i="7"/>
  <c r="F77" i="7" s="1"/>
  <c r="H77" i="7" s="1"/>
  <c r="D234" i="13"/>
  <c r="F207" i="13"/>
  <c r="H207" i="13" s="1"/>
  <c r="F201" i="13"/>
  <c r="F200" i="13"/>
  <c r="H68" i="7"/>
  <c r="H75" i="7" s="1"/>
  <c r="H223" i="13" l="1"/>
  <c r="H230" i="13" s="1"/>
  <c r="E254" i="13" s="1"/>
  <c r="E256" i="13" s="1"/>
  <c r="F199" i="13"/>
  <c r="F223" i="13" s="1"/>
  <c r="D237" i="13" s="1"/>
  <c r="F230" i="13" l="1"/>
  <c r="D238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jtrapnell</author>
    <author>Schroeder, Kevin@DHCS</author>
  </authors>
  <commentList>
    <comment ref="F199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200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201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202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203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204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205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</commentList>
</comments>
</file>

<file path=xl/sharedStrings.xml><?xml version="1.0" encoding="utf-8"?>
<sst xmlns="http://schemas.openxmlformats.org/spreadsheetml/2006/main" count="1758" uniqueCount="581">
  <si>
    <t>TOTAL</t>
  </si>
  <si>
    <t>DRUG MEDI-CAL PROGRAM COST SUMMARY</t>
  </si>
  <si>
    <t>DRUG MEDI-CAL FISCAL DETAIL</t>
  </si>
  <si>
    <t>NARCOTIC TREATMENT PROGRAM</t>
  </si>
  <si>
    <t>County Contract Submission</t>
  </si>
  <si>
    <t>COUNTY:</t>
  </si>
  <si>
    <t>UNIT OF SERVICE RATE</t>
  </si>
  <si>
    <t>Daily Dose - Methadone</t>
  </si>
  <si>
    <t>Individual Counseling @ 10 min.</t>
  </si>
  <si>
    <t>Group Counseling @ 10 min.</t>
  </si>
  <si>
    <t>Final UOS</t>
  </si>
  <si>
    <t>Provider Reimb.</t>
  </si>
  <si>
    <t>Total Reimb.</t>
  </si>
  <si>
    <t>GRAND TOTAL</t>
  </si>
  <si>
    <t>Total Units</t>
  </si>
  <si>
    <t>Data Entry</t>
  </si>
  <si>
    <t>Reg DMC</t>
  </si>
  <si>
    <t>Minor Consent</t>
  </si>
  <si>
    <t>Reimbursement</t>
  </si>
  <si>
    <t>Net Reimbursement</t>
  </si>
  <si>
    <t>Final Amount</t>
  </si>
  <si>
    <t>Federal Share</t>
  </si>
  <si>
    <t>County Share</t>
  </si>
  <si>
    <t>NET DOLLAR AMOUNT</t>
  </si>
  <si>
    <t>DEPARTMENT OF HEALTH CARE SERVICES</t>
  </si>
  <si>
    <t>Unit Description</t>
  </si>
  <si>
    <t>Denied Units</t>
  </si>
  <si>
    <t>Individual Counseling</t>
  </si>
  <si>
    <t>Group Counseling</t>
  </si>
  <si>
    <t>Dosing - Methadone</t>
  </si>
  <si>
    <t>Approved Units</t>
  </si>
  <si>
    <t>SUMMARY 
# UNITS OF SERVICE</t>
  </si>
  <si>
    <t>DMC by Grant Type</t>
  </si>
  <si>
    <t>DMC Reimbursement Amount</t>
  </si>
  <si>
    <t>County:</t>
  </si>
  <si>
    <t>DMC Program Amounts</t>
  </si>
  <si>
    <t>Fund Line No.</t>
  </si>
  <si>
    <t>200-b</t>
  </si>
  <si>
    <t>101a-b</t>
  </si>
  <si>
    <t>200-c</t>
  </si>
  <si>
    <t>By Program - Fees / DMC Share of Cost</t>
  </si>
  <si>
    <t>85</t>
  </si>
  <si>
    <t>By Program - Insurance</t>
  </si>
  <si>
    <t>101a-mc</t>
  </si>
  <si>
    <t>101a-cw</t>
  </si>
  <si>
    <t>CalWorks</t>
  </si>
  <si>
    <t>Insurance</t>
  </si>
  <si>
    <t>Individual UOS</t>
  </si>
  <si>
    <t>Group UOS</t>
  </si>
  <si>
    <t>Dosing UOS</t>
  </si>
  <si>
    <t>Revenue / DMC Share of Cost</t>
  </si>
  <si>
    <t>Revenue/ DMC Share of Cost</t>
  </si>
  <si>
    <t>Non-Perinatal Services</t>
  </si>
  <si>
    <t>Total units (UOS) denied for DMC reimbursement</t>
  </si>
  <si>
    <t>* UCC - Usual and Customary Charge</t>
  </si>
  <si>
    <t>Total Approved Units</t>
  </si>
  <si>
    <t>CalWorks Program - Program Code 87</t>
  </si>
  <si>
    <t>Minor Consent Program - Program Code 92</t>
  </si>
  <si>
    <t>DMC BHS 100% - Minor Consent Clients</t>
  </si>
  <si>
    <t>DMC Fed 100% - Refugee</t>
  </si>
  <si>
    <t>MC</t>
  </si>
  <si>
    <t>RRP</t>
  </si>
  <si>
    <t>CWTCVAPTV</t>
  </si>
  <si>
    <t>DMC Fed 50% T19 - Regular</t>
  </si>
  <si>
    <t>DMC BHS 50% - Regular</t>
  </si>
  <si>
    <t>DMC Fed 100%  - Refugee</t>
  </si>
  <si>
    <t>DMC BHS 100% Minor Consent Clients</t>
  </si>
  <si>
    <t>DMC BHS 100% CalWorks Trafficking Victim</t>
  </si>
  <si>
    <t xml:space="preserve">Aid Code Group </t>
  </si>
  <si>
    <t>DMC BHS 100% - CalWorks Trafficking Victim</t>
  </si>
  <si>
    <t>CONTRACT PERIOD:</t>
  </si>
  <si>
    <t>Insurance - T19/T21</t>
  </si>
  <si>
    <t>Share of Cost - T19/T21</t>
  </si>
  <si>
    <t>Share of Cost - non-T19/T21 (Minor Consent)</t>
  </si>
  <si>
    <t>Share of Cost - non-T19/T21(CalWorks)</t>
  </si>
  <si>
    <t>Insurance - non-T19/T21 (Minor Consent)</t>
  </si>
  <si>
    <t>Insurance - non-T19/T21(CalWorks)</t>
  </si>
  <si>
    <t>Non-T19/T21 Minor Consent</t>
  </si>
  <si>
    <t>Non-T19/21 CalWorks</t>
  </si>
  <si>
    <t>Final Approved UOS</t>
  </si>
  <si>
    <t>NTP - Non Perinatal</t>
  </si>
  <si>
    <t>Less SOC/Ins.</t>
  </si>
  <si>
    <t>Net Reimb.</t>
  </si>
  <si>
    <t>Provider or 
UCC Rate (*)</t>
  </si>
  <si>
    <t>Approved UOS
Title 19/21</t>
  </si>
  <si>
    <t>Approved 
Minor Consent Non-Title 19/21</t>
  </si>
  <si>
    <t>Approved 
CalWorks 
Non-Title 19/21</t>
  </si>
  <si>
    <t>Group
 Counseling</t>
  </si>
  <si>
    <t>Dosing -
 Methadone</t>
  </si>
  <si>
    <t>Group 
Counseling</t>
  </si>
  <si>
    <t>Individual 
Counseling</t>
  </si>
  <si>
    <t>Funding Source per Aid Code Grouping/Grant Type</t>
  </si>
  <si>
    <t xml:space="preserve">FINAL DOLLAR AMOUNT </t>
  </si>
  <si>
    <t xml:space="preserve">COST REPORT APPLICATION FUNDING WORKSHEET </t>
  </si>
  <si>
    <t>Share of Cost</t>
  </si>
  <si>
    <t>DMC Fed 88% T21 - ACA MCHIP Infants/Children &lt; 19</t>
  </si>
  <si>
    <t>DMC SGF 100% T19 - Regular for Undocumented Individuals &lt; age 19</t>
  </si>
  <si>
    <t>DMC SGF 100% T21 - MCHIP for SB 75</t>
  </si>
  <si>
    <t>DMC SGF 100% T19 - Targeted Low Income Children for Undocumented Individuals &lt; age 19</t>
  </si>
  <si>
    <t>TLICSB75</t>
  </si>
  <si>
    <t>DMC SGF 100% T19 - ACA Infants/Children &lt; age 19</t>
  </si>
  <si>
    <t>DMC SGF 100% T19 - ACA Parents/Other Caretakers for Undocumented Individuals &lt; age 19</t>
  </si>
  <si>
    <t>PAOCRT19SB75</t>
  </si>
  <si>
    <t>DMC SGF 100% T19 - ACA Pregnant Women for Undocumented Individuals &lt; age 19</t>
  </si>
  <si>
    <t>204-b</t>
  </si>
  <si>
    <t>DMC SGF 100% T19 - Regular SB 75</t>
  </si>
  <si>
    <t>204-d</t>
  </si>
  <si>
    <t>204-h</t>
  </si>
  <si>
    <t>DMC SGF 100% T19 - Targeted Low Income SB 75</t>
  </si>
  <si>
    <t>204-n</t>
  </si>
  <si>
    <t>DMC SGF 100% T19 - ACA Infants/Children &lt; age 19 SB 75</t>
  </si>
  <si>
    <t>204-t</t>
  </si>
  <si>
    <t>DMC SGF 100% T19 - ACA Parents/Other Caretakers for SB 75</t>
  </si>
  <si>
    <t>204-v</t>
  </si>
  <si>
    <t>DMC SGF 100% T19 - ACA Pregnant Women for SB 75</t>
  </si>
  <si>
    <t>SGF Share</t>
  </si>
  <si>
    <t>204-r</t>
  </si>
  <si>
    <t>DMC SGF 100% T21 - ACA MCHIP Infants/Children &lt; age 19 for SB 75</t>
  </si>
  <si>
    <t>MCHIPICUA19SB75</t>
  </si>
  <si>
    <t xml:space="preserve"> </t>
  </si>
  <si>
    <t>DMC Fed 93% - Adults Newly Eligible Aged 19-64 93/7</t>
  </si>
  <si>
    <t>DMC Fed 93% T19 - Low Income Health Program 93/7</t>
  </si>
  <si>
    <t>DMC SGF 7% T19 - Low Income Health Program 93/7</t>
  </si>
  <si>
    <t>DMC SGF 7% - Adults Newly Eligible Aged 19-64 93/7</t>
  </si>
  <si>
    <t xml:space="preserve">PROVIDER # </t>
  </si>
  <si>
    <t>Provider:</t>
  </si>
  <si>
    <t>DMC #</t>
  </si>
  <si>
    <t>PROVIDER:</t>
  </si>
  <si>
    <t>DMC #:</t>
  </si>
  <si>
    <t>PROVIDER #:</t>
  </si>
  <si>
    <t>223-y</t>
  </si>
  <si>
    <t>123a-y</t>
  </si>
  <si>
    <t>227-y</t>
  </si>
  <si>
    <t>127a-y</t>
  </si>
  <si>
    <t>223-i</t>
  </si>
  <si>
    <t>123a-i</t>
  </si>
  <si>
    <t>227-i</t>
  </si>
  <si>
    <t>127a-i</t>
  </si>
  <si>
    <t>DMC Fed 50% - Adults Newly Eligible Aged 19-64 50/50</t>
  </si>
  <si>
    <t>DMC SGF 50% - Adults Newly Eligible Aged 19-64 50/50</t>
  </si>
  <si>
    <t>DMC Fed 50% T19 - Low Income Health Program 50/50</t>
  </si>
  <si>
    <t>DMC SGF 50% T19 - Low Income Health Program 50/50</t>
  </si>
  <si>
    <t>Total Amount</t>
  </si>
  <si>
    <t xml:space="preserve">DMC Fed 69.34% T19 - BCCTP -  CVD19 Rate - Effective: 01/01/20 </t>
  </si>
  <si>
    <t xml:space="preserve">DMC Fed 56.2% T19 - ACA Infants/Children &lt; age 19,  CVD19 Rate - Effective: 01/01/20 </t>
  </si>
  <si>
    <t xml:space="preserve">DMC Fed 56.2% T19 - Not Newly Eligible County Compassionate Release Citizen, CVD Rate - Effective: 01/01/20 </t>
  </si>
  <si>
    <t xml:space="preserve">DMC Fed 56.2% T21 - ACA Parents/Other Caretakers, CVD19 Rate - Effective: 01/01/20 </t>
  </si>
  <si>
    <t xml:space="preserve">DMC Fed 56.2% T19 - ACA Parents/Other Caretakers, CVD 19 Rate - Effective:  01/01/20 </t>
  </si>
  <si>
    <t xml:space="preserve">DMC Fed 56.2% T19 - ACA Pregnant Women, CVD19 Rate - Effective: 01/01/20 </t>
  </si>
  <si>
    <t xml:space="preserve">DMC Fed 69.34% T21 - ACA Pregnant Women, CVD19 Rate - Effective: 01/01/20 </t>
  </si>
  <si>
    <t>DMC Fed 69.34% T19 - Low Income Health Program  CVD19 Rate - Effective: 01/01/20</t>
  </si>
  <si>
    <t>DMC Fed 56.2% T19 - Adults Newly Eligible Aged 19-64 - CVD19 Rate - Effective: 01/01/20</t>
  </si>
  <si>
    <t>DMC Fed 69.34% T19 - Adults Newly Eligible Aged 19-64 - CVD19 Rate - Effective: 01/01/20</t>
  </si>
  <si>
    <t>REG - CVD19</t>
  </si>
  <si>
    <t>BCCTP - CVD19</t>
  </si>
  <si>
    <t>ICUA19 - CVD19</t>
  </si>
  <si>
    <t>NECCRC 90/10</t>
  </si>
  <si>
    <t>PAOCRT21 - CVD19</t>
  </si>
  <si>
    <t>PAOCRT19 - CVD19</t>
  </si>
  <si>
    <t>PWT21 - CVD19</t>
  </si>
  <si>
    <t>LIHP 50/50 - CVD19</t>
  </si>
  <si>
    <t>NEPNA 50/50 - CVD19</t>
  </si>
  <si>
    <t>NEPNA 65/35 - CVD19</t>
  </si>
  <si>
    <t>203-b</t>
  </si>
  <si>
    <t>DMC Fed 56.2% T19 - Regular - CVD19</t>
  </si>
  <si>
    <t>101a-c</t>
  </si>
  <si>
    <t>DMC BHS 43.8% - Regular - CVD19</t>
  </si>
  <si>
    <t>209-f</t>
  </si>
  <si>
    <t>DMC Fed 69.34% T19 - BCCTP - CVD19</t>
  </si>
  <si>
    <t>104a-f</t>
  </si>
  <si>
    <t>DMC BHS 30.66% - BCCTP - CVD19</t>
  </si>
  <si>
    <t>209-k</t>
  </si>
  <si>
    <t>DMC Fed 56.2% T19 - Hospital Presumptive Eligibility - CVD19</t>
  </si>
  <si>
    <t>105a-k</t>
  </si>
  <si>
    <t>DMC BHS 43.8% - Hospital Presumptive Eligibility - CVD19</t>
  </si>
  <si>
    <t>DMC Fed 56.2% T19 - ACA Infants/Children &lt; age 19 - CVD19</t>
  </si>
  <si>
    <t>203-p</t>
  </si>
  <si>
    <t>DMC Fed 56.2% T19 - Not Newly Eligible County Compassionate Release Citizen - CVD19</t>
  </si>
  <si>
    <t>102a-p</t>
  </si>
  <si>
    <t>DMC BHS 43.8% - T19 - Not Newly Eligible County Compassionate Release Citizen - CVD19</t>
  </si>
  <si>
    <t>225-pa</t>
  </si>
  <si>
    <t>DMC Fed 90% T19 - Newly Eligible County Compassionate Release Citizen</t>
  </si>
  <si>
    <t>124a-pa</t>
  </si>
  <si>
    <t>DMC Fed 56.2% T21 - ACA Parents/Other Caretakers - CVD19</t>
  </si>
  <si>
    <t>DMC Fed 56.2% T19 - ACA Parents/Other Caretakers - CVD19</t>
  </si>
  <si>
    <t>DMC Fed 56.2% T19 - ACA Pregnant Women - CVD19</t>
  </si>
  <si>
    <t>DMC Fed 69.34% T21 - ACA Pregnant Women - CVD19</t>
  </si>
  <si>
    <t>212-m</t>
  </si>
  <si>
    <t>DMC Fed 80.84% T21 - Hospital Presumptive Eligibility MCHIPE</t>
  </si>
  <si>
    <t>106a-m</t>
  </si>
  <si>
    <t>DMC BHS 19.16% - Hospital Presumptive Eligibility MCHIPE</t>
  </si>
  <si>
    <t>209-r</t>
  </si>
  <si>
    <t xml:space="preserve">DMC Fed 76.5% T21 - ACA MCHIPE Infants/Children &lt; age 19 </t>
  </si>
  <si>
    <t>105a-r</t>
  </si>
  <si>
    <t xml:space="preserve">DMC BHS 23.5% T21 - ACA MCHIPE Infants/Children &lt; age 19 </t>
  </si>
  <si>
    <t>213-r</t>
  </si>
  <si>
    <t xml:space="preserve">DMC Fed 80.84% T21 - ACA MCHIPE Infants/Children &lt; age 19, CVD19 </t>
  </si>
  <si>
    <t>106-r</t>
  </si>
  <si>
    <t xml:space="preserve">DMC BHS 19.16% T21 - ACA MCHIPE Infants/Children &lt; age 19, CVD19 </t>
  </si>
  <si>
    <t>235-i</t>
  </si>
  <si>
    <t>DMC Fed 56.2% T19 - Low Income Health Program - CVD19</t>
  </si>
  <si>
    <t>135a-i</t>
  </si>
  <si>
    <t>DMC SGF 43.8% T19 - Low Income Health Program - CVD19</t>
  </si>
  <si>
    <t>239-i</t>
  </si>
  <si>
    <t>DMC Fed 69.34% T19 - Low Income Health Program - CVD19</t>
  </si>
  <si>
    <t>139a-i</t>
  </si>
  <si>
    <t>DMC SGF 30.66% T19 - Low Income Health Program - CVD19</t>
  </si>
  <si>
    <t>231-i</t>
  </si>
  <si>
    <t>DMC Fed 90% T19 - Low Income Health Program 90/10</t>
  </si>
  <si>
    <t>131a-i</t>
  </si>
  <si>
    <t>DMC SGF 10% T19 - Low Income Health Program 90/10</t>
  </si>
  <si>
    <t>235-y</t>
  </si>
  <si>
    <t>DMC Fed 56.2% T19 - Adults Newly Eligible Aged 19-64 - CVD19</t>
  </si>
  <si>
    <t>135a-y</t>
  </si>
  <si>
    <t>DMC SGF 43.8% T19 - Adults Newly Eligible Aged 19-64 - CVD19</t>
  </si>
  <si>
    <t>239-y</t>
  </si>
  <si>
    <t>DMC Fed 69.34% T19 - Adults Newly Eligible Aged 19-64 - CVD19</t>
  </si>
  <si>
    <t>139a-y</t>
  </si>
  <si>
    <t>DMC SGF 30.66% T19 - Adults Newly Eligible Aged 19-64 - CVD19</t>
  </si>
  <si>
    <t>231-y</t>
  </si>
  <si>
    <t>DMC Fed 90% - Adults Newly Eligible Aged 19-64 90/10</t>
  </si>
  <si>
    <t>131-y</t>
  </si>
  <si>
    <t>DMC SGF 10% - Adults Newly Eligible Aged 19-64 90/10</t>
  </si>
  <si>
    <t>216-r</t>
  </si>
  <si>
    <t>DMC Fed 88% T19 - Not Newly Eligible FMAP Enhance</t>
  </si>
  <si>
    <t>107-r</t>
  </si>
  <si>
    <t>DMC BHS 12% T19 - Not Newly Eligible FMAP Enhance</t>
  </si>
  <si>
    <t>DMC SGF 100% T19 Local Income Health Program for SB 75</t>
  </si>
  <si>
    <t>DMC SGF 100% T19  ACA New Adults 19-64 (NEPNA) SB 75</t>
  </si>
  <si>
    <t>NEPNA SB75</t>
  </si>
  <si>
    <t>242-i</t>
  </si>
  <si>
    <t>243-y</t>
  </si>
  <si>
    <t>202-r</t>
  </si>
  <si>
    <t>102a-r</t>
  </si>
  <si>
    <t>DMC BHS 12% - ACA MCHIP Infants/Children &lt; 19</t>
  </si>
  <si>
    <t>USDR</t>
  </si>
  <si>
    <t>Dosing - Buprenorphine</t>
  </si>
  <si>
    <t>Dosing - Disulfiram</t>
  </si>
  <si>
    <t>Dosing - Naloxone</t>
  </si>
  <si>
    <t>Daily Dose - Buprenorphine</t>
  </si>
  <si>
    <t>Daily Dose - Disulfiram</t>
  </si>
  <si>
    <t>Daily Dose - Naloxone</t>
  </si>
  <si>
    <t>Dosing - Buprenorphine-Naloxone Combination</t>
  </si>
  <si>
    <t>Daily Dose - Buprenorphine - Mono</t>
  </si>
  <si>
    <t>Daily Dose - Buprenorphine-Naloxone Combination</t>
  </si>
  <si>
    <t>Dosing - Buprenorphine Mono</t>
  </si>
  <si>
    <r>
      <t>Total Daily Rate</t>
    </r>
    <r>
      <rPr>
        <sz val="12"/>
        <color rgb="FFFF0000"/>
        <rFont val="Arial"/>
        <family val="2"/>
      </rPr>
      <t xml:space="preserve"> (Lower of UCC and USDR)</t>
    </r>
  </si>
  <si>
    <t>Item for Review</t>
  </si>
  <si>
    <t>Form 7990/FL Info</t>
  </si>
  <si>
    <t>Fiscal Detail Pages</t>
  </si>
  <si>
    <t>Non DMC FUNDING AND UNIT INFORMATION</t>
  </si>
  <si>
    <t>Non DMC Total Costs</t>
  </si>
  <si>
    <t>Non DMC Methadone Doses</t>
  </si>
  <si>
    <t>Non DMC Individual Counseling</t>
  </si>
  <si>
    <t>Non DMC Group Counseling</t>
  </si>
  <si>
    <t>Daily Dose - Buprenorphine Mono</t>
  </si>
  <si>
    <t>DMC FUNDING AND UNIT INFORMATION</t>
  </si>
  <si>
    <t>a) Regular DMC 
Total Federal Share - T19/T21</t>
  </si>
  <si>
    <t>b) Regular DMC 
Total BHS Share</t>
  </si>
  <si>
    <t>c) Regular DMC 
Total SGF Share</t>
  </si>
  <si>
    <t>Fees (Share of Costs) - Line 84</t>
  </si>
  <si>
    <t>Insurance - Line 85</t>
  </si>
  <si>
    <t>DMC Methadone Doses</t>
  </si>
  <si>
    <t>DMC Individual Counseling Units</t>
  </si>
  <si>
    <t>DMC Group Counseling Units</t>
  </si>
  <si>
    <t>PROVIDER RATE INFORMATION</t>
  </si>
  <si>
    <t>Service</t>
  </si>
  <si>
    <t>Standard Rate*</t>
  </si>
  <si>
    <t>Form 7990**</t>
  </si>
  <si>
    <t>* Standard rate for provider reimbursement is the Uniform Statewide Maximum Reimbursement (USMR) rate</t>
  </si>
  <si>
    <t xml:space="preserve">**DMC Administrative Costs are reported on DHCS Form MC 5312 </t>
  </si>
  <si>
    <t>102a-t</t>
  </si>
  <si>
    <t>202-t</t>
  </si>
  <si>
    <t>DMC Fed 80.84% T21 - Hospital Presumptive Eligibility MCHIPE - CVD19</t>
  </si>
  <si>
    <t>206-r</t>
  </si>
  <si>
    <t>103a-r</t>
  </si>
  <si>
    <t>DMC Fed 88% T21 - ACA MCHIPE Infants/Children &lt; age 19</t>
  </si>
  <si>
    <t>DMC SGF 12% T21 - ACA MCHIP Infants/Children &lt; age 19</t>
  </si>
  <si>
    <t>205-r</t>
  </si>
  <si>
    <t>DMC BHS 100% T21 - ACA MCHIPE Infants/Children &lt; age 19 for SB 75</t>
  </si>
  <si>
    <t>208-b</t>
  </si>
  <si>
    <t>DMC BHS 100% T19 - Regular SB 75</t>
  </si>
  <si>
    <t>208-d</t>
  </si>
  <si>
    <t>DMC BHS 100% T21 - MCHIP for SB 75</t>
  </si>
  <si>
    <t>208-h</t>
  </si>
  <si>
    <t>DMC BHS 100% T19 - Targeted Low Income SB 75</t>
  </si>
  <si>
    <t>208-n</t>
  </si>
  <si>
    <t>DMC BHS 100% T19 - ACA Infants/Children &lt; age 19 SB 75</t>
  </si>
  <si>
    <t>208-t</t>
  </si>
  <si>
    <t>DMC BHS 100% T19 - ACA Parents/Other Caretakers for SB 75</t>
  </si>
  <si>
    <t>208-v</t>
  </si>
  <si>
    <t>DMC BHS 100% T19 - ACA Pregnant Women for SB 75</t>
  </si>
  <si>
    <t>226-i</t>
  </si>
  <si>
    <t>126a-i</t>
  </si>
  <si>
    <t>DMC Fed 50% T19 - Low Income Health Program</t>
  </si>
  <si>
    <t>DMC BHS 50% T19 - Low Income Health Program</t>
  </si>
  <si>
    <t>234-i</t>
  </si>
  <si>
    <t>134a-i</t>
  </si>
  <si>
    <t>DMC BHS 43.8% T19 - Low Income Health Program - CVD19</t>
  </si>
  <si>
    <t>238-i</t>
  </si>
  <si>
    <t>138a-i</t>
  </si>
  <si>
    <t>DMC BHS 30.66% T19 - Low Income Health Program - CVD19</t>
  </si>
  <si>
    <t>222-i</t>
  </si>
  <si>
    <t>122a-i</t>
  </si>
  <si>
    <t>DMC Fed 93% T19 - Low Income Health Program</t>
  </si>
  <si>
    <t>DMC BHS 7% T19 - Low Income Health Program</t>
  </si>
  <si>
    <t>230-i</t>
  </si>
  <si>
    <t>130a-i</t>
  </si>
  <si>
    <t xml:space="preserve">DMC Fed 90% T19 - Low Income Health Program </t>
  </si>
  <si>
    <t>DMC BHS 10% T19 - Low Income Health Program</t>
  </si>
  <si>
    <t>226-y</t>
  </si>
  <si>
    <t>126a-y</t>
  </si>
  <si>
    <t>DMC Fed 50% T19 - Adults Newly Eligible Aged 19-64</t>
  </si>
  <si>
    <t>DMC BHS 50% T19 - Adults Newly Eligible Aged 19-64</t>
  </si>
  <si>
    <t>234-y</t>
  </si>
  <si>
    <t>134a-y</t>
  </si>
  <si>
    <t>DMC BHS 43.8% T19 - Adults Newly Eligible Aged 19-64 - CVD19</t>
  </si>
  <si>
    <t>238-y</t>
  </si>
  <si>
    <t>138a-y</t>
  </si>
  <si>
    <t>DMC BHS 30.66% T19 - Adults Newly Eligible Aged 19-64 - CVD19</t>
  </si>
  <si>
    <t>222-y</t>
  </si>
  <si>
    <t>122a-y</t>
  </si>
  <si>
    <t>DMC Fed 93% T19 - Adults Newly Eligible Aged 19-64</t>
  </si>
  <si>
    <t>DMC BHS 7% T19 - Adults Newly Eligible Aged 19-64</t>
  </si>
  <si>
    <t>230-y</t>
  </si>
  <si>
    <t>130a-y</t>
  </si>
  <si>
    <t>DMC Fed 90% T19 - Adults Newly Eligible Aged 19-64</t>
  </si>
  <si>
    <t>DMC BHS 10% T19 - Adults Newly Eligible Aged 19-64</t>
  </si>
  <si>
    <t>DMC SGF 43.8% - ACA Parents/Other Caretakers - CVD19</t>
  </si>
  <si>
    <t>202-n</t>
  </si>
  <si>
    <t>102a-n</t>
  </si>
  <si>
    <t>DMC SGF 43.8% - ACA Infants/Children &lt; age 19 - CVD19</t>
  </si>
  <si>
    <t>208-r</t>
  </si>
  <si>
    <t>104a-r</t>
  </si>
  <si>
    <t xml:space="preserve">DMC SGF 23.5% T21 - ACA MCHIPE Infants/Children &lt; age 19 </t>
  </si>
  <si>
    <t>212-r</t>
  </si>
  <si>
    <t>105-r</t>
  </si>
  <si>
    <t>DMC Fed 80.84% T21 - ACA MCHIPE Infants/Children &lt; age 19 - CVD19</t>
  </si>
  <si>
    <t>DMC SGF 19.16% T21 - ACA MCHIPE Infants/Children &lt; age 19 - CVD19</t>
  </si>
  <si>
    <t>208-s</t>
  </si>
  <si>
    <t>105a-s</t>
  </si>
  <si>
    <t>202-v</t>
  </si>
  <si>
    <t>102a-v</t>
  </si>
  <si>
    <t>DMC SGF 43.8% - ACA Pregnant Women - CVD19</t>
  </si>
  <si>
    <t>202-w</t>
  </si>
  <si>
    <t>102a-w</t>
  </si>
  <si>
    <t>DMC SGF 30.66% - ACA Pregnant Women - CVD19</t>
  </si>
  <si>
    <t xml:space="preserve">DMC BHS 10% T19 - Low Income Health Program </t>
  </si>
  <si>
    <t>245-i</t>
  </si>
  <si>
    <t>DMC BHS 100% T19 - Low Income Health Program</t>
  </si>
  <si>
    <t>DMC BHS 12% T21 - ACA MCHIP Infants/Children &lt; age 19</t>
  </si>
  <si>
    <t>245-y</t>
  </si>
  <si>
    <t xml:space="preserve">DMC BHS 100% T19 - Adults Newly Eligible Aged 19-64 </t>
  </si>
  <si>
    <t>DMC BHS 19.16% - Hospital Presumptive Eligibility MCHIPE - CVD19</t>
  </si>
  <si>
    <t>DMC BHS 100% T21 - ACA MCHIP Infants/Children &lt; age 19 for SB 75</t>
  </si>
  <si>
    <t>DMC SGF 7% T19 - Adults Newly Eligible Aged 19-64</t>
  </si>
  <si>
    <t>DMC SGF 50% T19 - Adults Newly Eligible Aged 19-64</t>
  </si>
  <si>
    <t>Total county match funds    (b+c)</t>
  </si>
  <si>
    <t xml:space="preserve">DMC Fed 56.2% T19 - Regular, CVD19 Rate - Effective: 01/01/2020 </t>
  </si>
  <si>
    <t>DMC Fed 69.34% T21 - MCHIPE - Effective 10/01/20 - 06/30/2021</t>
  </si>
  <si>
    <t>DMC Fed 69.34% T21 - MCHIPE Healthy Families Program Transition - Effective 10/01/20 - 06/30/2021</t>
  </si>
  <si>
    <t>DMC Fed 69.34% T21 - Pregnancy Only</t>
  </si>
  <si>
    <t>DMC Fed 69.34% T21 - MCHIPE Targeted Low Income Children - Effective: 10/01/20 - 06/30/2021</t>
  </si>
  <si>
    <t>DMC Fed 90% T19 - Low Income Health Program - Effective: 01/01/20</t>
  </si>
  <si>
    <r>
      <t xml:space="preserve">DMC Fed 56.2% T19 - Low Income Health Program  CVD19 Rate- Effective: 01/01/20 </t>
    </r>
    <r>
      <rPr>
        <sz val="10"/>
        <rFont val="Arial"/>
        <family val="2"/>
      </rPr>
      <t/>
    </r>
  </si>
  <si>
    <t>DMC SGF 100% T19 - Low Income Health Program -  Effective: 01/01/20</t>
  </si>
  <si>
    <t xml:space="preserve">DMC Fed 69.34% T21 - Medi-Cal Access Program - Effective 10/01/19 </t>
  </si>
  <si>
    <t xml:space="preserve">DMC Fed 56.2% T19 - Hospital Presumptive Eligibility, CVD9 Rate - Effective: 01/01/20 - 09/30/20 </t>
  </si>
  <si>
    <t>DMC Fed 69.34% T21 - Hospital Presumptive Eligibility MCHIPE - Effective: 10/01/20 - 06/30/2021</t>
  </si>
  <si>
    <t>DMC Fed 69.34% T21 - ACA MCHIPE Infants/Children &lt; age 19 -  Effective: 10/1//19 - 12/31//19</t>
  </si>
  <si>
    <t>DMC SGF 100% T21 - ACA MCHIP Infants/Children &lt; age 19 SB75</t>
  </si>
  <si>
    <t>DMC Fed 90% T19 - Newly Eligible County Compassionate Release Citizen - Effective: 1/1/20 - 12/31/20</t>
  </si>
  <si>
    <t>DMC Fed 90% T19 - Adults Newly Eligible Aged 19-64 - Effective 01/01/20</t>
  </si>
  <si>
    <t>DMC SGF 100% T19 - Adults Newly Eligible Aged 19-64 - Effective: 01/01/19</t>
  </si>
  <si>
    <t>DMC Fed 69.34% T21 - MCHIPE</t>
  </si>
  <si>
    <t>DMC BHS 30.66% - MCHIPE</t>
  </si>
  <si>
    <t>251-d</t>
  </si>
  <si>
    <t>151a-d</t>
  </si>
  <si>
    <t xml:space="preserve">DMC Fed 69.34% T21 - MCHIPE Healthy Families Program Transition </t>
  </si>
  <si>
    <t xml:space="preserve">DMC BHS 30.66% - MCHIPE Healthy Families Program Transition </t>
  </si>
  <si>
    <t>251-e</t>
  </si>
  <si>
    <t>151a-e</t>
  </si>
  <si>
    <t>DMC BHS 30.66% - Pregnancy Only</t>
  </si>
  <si>
    <t>251-g</t>
  </si>
  <si>
    <t>151a-g</t>
  </si>
  <si>
    <t xml:space="preserve">DMC Fed 69.34% T21 - MCHIPE Targeted Low Income Children </t>
  </si>
  <si>
    <t xml:space="preserve">DMC BHS 30.66% - MCHIPE Targeted Low Income Children </t>
  </si>
  <si>
    <t>251-h</t>
  </si>
  <si>
    <t>151a-h</t>
  </si>
  <si>
    <t xml:space="preserve">DMC SGF 10% T19 - Low Income Health Program </t>
  </si>
  <si>
    <t>DMC SGF 100% T19 - Low Income Health Program</t>
  </si>
  <si>
    <t>DMC Fed 69.34% T21 - Medi-Cal Access Program</t>
  </si>
  <si>
    <t>DMC BHS 30.66% T21 - Medi-Cal Access Program</t>
  </si>
  <si>
    <t>251-j</t>
  </si>
  <si>
    <t>151a-j</t>
  </si>
  <si>
    <t>DMC Fed 69.34% T21 - Hospital Presumptive Eligibility MCHIPE</t>
  </si>
  <si>
    <t>DMC BHS 30.66% - Hospital Presumptive Eligibility MCHIPE</t>
  </si>
  <si>
    <t>251-m</t>
  </si>
  <si>
    <t>151a-m</t>
  </si>
  <si>
    <t xml:space="preserve">DMC Fed 69.34% T21 - ACA MCHIPE Infants/Children &lt; age 19 </t>
  </si>
  <si>
    <t xml:space="preserve">DMC SGF 30.66% T21 - ACA MCHIPE Infants/Children &lt; age 19 </t>
  </si>
  <si>
    <t>250-r</t>
  </si>
  <si>
    <t>150a-r</t>
  </si>
  <si>
    <t>DMC SGF 100% T21 - ACA MCHIPE Infants/Children &lt; age 19 for SB 75</t>
  </si>
  <si>
    <t>DMC BHS 10% T19 -Newly Eligible County Compassionate Release Citizen</t>
  </si>
  <si>
    <t xml:space="preserve">DMC Fed 90% T19 - Adults Newly Eligible Aged 19-64 </t>
  </si>
  <si>
    <t xml:space="preserve">DMC SGF 10% T19 - Adults Newly Eligible Aged 19-64 </t>
  </si>
  <si>
    <t xml:space="preserve">DMC SGF 100% T19 - Adults Newly Eligible Aged 19-64 </t>
  </si>
  <si>
    <t>DMC Fed 56.2% T19 - Regular - CVD20</t>
  </si>
  <si>
    <t>DMC BHS 43.8% - Regular - CVD20</t>
  </si>
  <si>
    <t>DMC SGF 100% T19 - Regular SB 76</t>
  </si>
  <si>
    <t>DMC SGF 100% T21 - MCHIP for SB 76</t>
  </si>
  <si>
    <t>DMC Fed 69.34% T19 - BCCTP - CVD20</t>
  </si>
  <si>
    <t>DMC BHS 30.66% - BCCTP - CVD20</t>
  </si>
  <si>
    <t>DMC SGF 100% T19 - Targeted Low Income SB 76</t>
  </si>
  <si>
    <t>DMC Fed 56.2% T19 - Low Income Health Program - CVD20</t>
  </si>
  <si>
    <t>DMC SGF 43.8% T19 - Low Income Health Program - CVD20</t>
  </si>
  <si>
    <t>DMC Fed 69.34% T19 - Low Income Health Program - CVD20</t>
  </si>
  <si>
    <t>DMC SGF 30.66% T19 - Low Income Health Program - CVD20</t>
  </si>
  <si>
    <t>DMC Fed 56.2% T19 - Hospital Presumptive Eligibility - CVD20</t>
  </si>
  <si>
    <t>DMC BHS 43.8% - Hospital Presumptive Eligibility - CVD20</t>
  </si>
  <si>
    <t>DMC Fed 56.2% T19 - ACA Infants/Children &lt; age 19 - CVD20</t>
  </si>
  <si>
    <t>DMC SGF 43.8% - ACA Infants/Children &lt; age 19 - CVD20</t>
  </si>
  <si>
    <t>DMC SGF 100% T19 - ACA Infants/Children &lt; age 19 SB 76</t>
  </si>
  <si>
    <t>DMC Fed 69.34% T21 - ACA MCHIPE Infants/Children &lt; age 20</t>
  </si>
  <si>
    <t>DMC SGF 30.66% T21 - ACA MCHIPE Infants/Children &lt; age 20</t>
  </si>
  <si>
    <t>DMC SGF 100% T21 - ACA MCHIPE Infants/Children &lt; age 19 for SB 76</t>
  </si>
  <si>
    <t>DMC Fed 56.2% T19 - Not Newly Eligible County Compassionate Release Citizen - CVD20</t>
  </si>
  <si>
    <t>DMC BHS 43.8% - T19 - Not Newly Eligible County Compassionate Release Citizen - CVD20</t>
  </si>
  <si>
    <t>DMC Fed 56.2% T21 - ACA Parents/Other Caretakers - CVD20</t>
  </si>
  <si>
    <t>DMC SGF 43.8% - ACA Parents/Other Caretakers - CVD20</t>
  </si>
  <si>
    <t>DMC Fed 56.2% T19 - ACA Parents/Other Caretakers - CVD20</t>
  </si>
  <si>
    <t>DMC SGF 100% T19 - ACA Parents/Other Caretakers for SB 76</t>
  </si>
  <si>
    <t>DMC Fed 56.2% T19 - ACA Pregnant Women - CVD20</t>
  </si>
  <si>
    <t>DMC SGF 43.8% - ACA Pregnant Women - CVD20</t>
  </si>
  <si>
    <t>DMC SGF 100% T19 - ACA Pregnant Women for SB 76</t>
  </si>
  <si>
    <t>DMC Fed 69.34% T21 - ACA Pregnant Women - CVD20</t>
  </si>
  <si>
    <t>DMC SGF 30.66% - ACA Pregnant Women - CVD20</t>
  </si>
  <si>
    <t>DMC Fed 90% T19 - Adults Newly Eligible Aged 19-65</t>
  </si>
  <si>
    <t>DMC SGF 10% T19 - Adults Newly Eligible Aged 19-65</t>
  </si>
  <si>
    <t>DMC Fed 56.2% T19 - Adults Newly Eligible Aged 19-64 - CVD20</t>
  </si>
  <si>
    <t>DMC SGF 43.8% T19 - Adults Newly Eligible Aged 19-64 - CVD20</t>
  </si>
  <si>
    <t>DMC Fed 69.34% T19 - Adults Newly Eligible Aged 19-64 - CVD20</t>
  </si>
  <si>
    <t>DMC SGF 30.66% T19 - Adults Newly Eligible Aged 19-64 - CVD20</t>
  </si>
  <si>
    <t>DMC SGF 100% T19 - Adults Newly Eligible Aged 19-65</t>
  </si>
  <si>
    <t>DMC Fed 56.2% T19 - Regular - CVD21</t>
  </si>
  <si>
    <t>DMC BHS 43.8% - Regular - CVD21</t>
  </si>
  <si>
    <t>DMC SGF 100% T19 - Regular SB 77</t>
  </si>
  <si>
    <t>DMC SGF 100% T21 - MCHIP for SB 77</t>
  </si>
  <si>
    <t>DMC Fed 69.34% T19 - BCCTP - CVD21</t>
  </si>
  <si>
    <t>DMC BHS 30.66% - BCCTP - CVD21</t>
  </si>
  <si>
    <t>DMC SGF 100% T19 - Targeted Low Income SB 77</t>
  </si>
  <si>
    <t>DMC Fed 56.2% T19 - Low Income Health Program - CVD21</t>
  </si>
  <si>
    <t>DMC SGF 43.8% T19 - Low Income Health Program - CVD21</t>
  </si>
  <si>
    <t>DMC Fed 69.34% T19 - Low Income Health Program - CVD21</t>
  </si>
  <si>
    <t>DMC SGF 30.66% T19 - Low Income Health Program - CVD21</t>
  </si>
  <si>
    <t>DMC Fed 56.2% T19 - Hospital Presumptive Eligibility - CVD21</t>
  </si>
  <si>
    <t>DMC BHS 43.8% - Hospital Presumptive Eligibility - CVD21</t>
  </si>
  <si>
    <t>DMC Fed 56.2% T19 - ACA Infants/Children &lt; age 19 - CVD21</t>
  </si>
  <si>
    <t>DMC SGF 43.8% - ACA Infants/Children &lt; age 19 - CVD21</t>
  </si>
  <si>
    <t>DMC SGF 100% T19 - ACA Infants/Children &lt; age 19 SB 77</t>
  </si>
  <si>
    <t>DMC Fed 69.34% T21 - ACA MCHIPE Infants/Children &lt; age 21</t>
  </si>
  <si>
    <t>DMC SGF 30.66% T21 - ACA MCHIPE Infants/Children &lt; age 21</t>
  </si>
  <si>
    <t>DMC SGF 100% T21 - ACA MCHIPE Infants/Children &lt; age 19 for SB 77</t>
  </si>
  <si>
    <t>DMC Fed 56.2% T19 - Not Newly Eligible County Compassionate Release Citizen - CVD21</t>
  </si>
  <si>
    <t>DMC BHS 43.8% - T19 - Not Newly Eligible County Compassionate Release Citizen - CVD21</t>
  </si>
  <si>
    <t>DMC Fed 56.2% T21 - ACA Parents/Other Caretakers - CVD21</t>
  </si>
  <si>
    <t>DMC SGF 43.8% - ACA Parents/Other Caretakers - CVD21</t>
  </si>
  <si>
    <t>DMC Fed 56.2% T19 - ACA Parents/Other Caretakers - CVD21</t>
  </si>
  <si>
    <t>DMC SGF 100% T19 - ACA Parents/Other Caretakers for SB 77</t>
  </si>
  <si>
    <t>DMC Fed 56.2% T19 - ACA Pregnant Women - CVD21</t>
  </si>
  <si>
    <t>DMC SGF 43.8% - ACA Pregnant Women - CVD21</t>
  </si>
  <si>
    <t>DMC SGF 100% T19 - ACA Pregnant Women for SB 77</t>
  </si>
  <si>
    <t>DMC Fed 69.34% T21 - ACA Pregnant Women - CVD21</t>
  </si>
  <si>
    <t>DMC SGF 30.66% - ACA Pregnant Women - CVD21</t>
  </si>
  <si>
    <t>DMC Fed 90% T19 - Adults Newly Eligible Aged 19-66</t>
  </si>
  <si>
    <t>DMC SGF 10% T19 - Adults Newly Eligible Aged 19-66</t>
  </si>
  <si>
    <t>DMC Fed 56.2% T19 - Adults Newly Eligible Aged 19-64 - CVD21</t>
  </si>
  <si>
    <t>DMC SGF 43.8% T19 - Adults Newly Eligible Aged 19-64 - CVD21</t>
  </si>
  <si>
    <t>DMC Fed 69.34% T19 - Adults Newly Eligible Aged 19-64 - CVD21</t>
  </si>
  <si>
    <t>DMC SGF 30.66% T19 - Adults Newly Eligible Aged 19-64 - CVD21</t>
  </si>
  <si>
    <t>DMC SGF 100% T19 - Adults Newly Eligible Aged 19-66</t>
  </si>
  <si>
    <t>DMC Fed 56.2% T19 - Regular - CVD22</t>
  </si>
  <si>
    <t>DMC BHS 43.8% - Regular - CVD22</t>
  </si>
  <si>
    <t>DMC Fed 69.34% T19 - BCCTP - CVD22</t>
  </si>
  <si>
    <t>DMC BHS 30.66% - BCCTP - CVD22</t>
  </si>
  <si>
    <t>DMC Fed 56.2% T19 - Hospital Presumptive Eligibility - CVD22</t>
  </si>
  <si>
    <t>DMC BHS 43.8% - Hospital Presumptive Eligibility - CVD22</t>
  </si>
  <si>
    <t>DMC Fed 56.2% T19 - Not Newly Eligible County Compassionate Release Citizen - CVD22</t>
  </si>
  <si>
    <t>DMC BHS 43.8% - T19 - Not Newly Eligible County Compassionate Release Citizen - CVD22</t>
  </si>
  <si>
    <t>DMC Fed 56.2% T19 - Regular - CVD23</t>
  </si>
  <si>
    <t>DMC BHS 43.8% - Regular - CVD23</t>
  </si>
  <si>
    <t>DMC Fed 69.34% T19 - BCCTP - CVD23</t>
  </si>
  <si>
    <t>DMC BHS 30.66% - BCCTP - CVD23</t>
  </si>
  <si>
    <t>DMC Fed 56.2% T19 - Hospital Presumptive Eligibility - CVD23</t>
  </si>
  <si>
    <t>DMC BHS 43.8% - Hospital Presumptive Eligibility - CVD23</t>
  </si>
  <si>
    <t>DMC Fed 56.2% T19 - Not Newly Eligible County Compassionate Release Citizen - CVD23</t>
  </si>
  <si>
    <t>DMC BHS 43.8% - T19 - Not Newly Eligible County Compassionate Release Citizen - CVD23</t>
  </si>
  <si>
    <t>DMC Fed 56.2% T19 - Regular - CVD24</t>
  </si>
  <si>
    <t>DMC BHS 43.8% - Regular - CVD24</t>
  </si>
  <si>
    <t>DMC Fed 69.34% T19 - BCCTP - CVD24</t>
  </si>
  <si>
    <t>DMC BHS 30.66% - BCCTP - CVD24</t>
  </si>
  <si>
    <t>DMC Fed 56.2% T19 - Hospital Presumptive Eligibility - CVD24</t>
  </si>
  <si>
    <t>DMC BHS 43.8% - Hospital Presumptive Eligibility - CVD24</t>
  </si>
  <si>
    <t>DMC Fed 56.2% T19 - Not Newly Eligible County Compassionate Release Citizen - CVD24</t>
  </si>
  <si>
    <t>DMC BHS 43.8% - T19 - Not Newly Eligible County Compassionate Release Citizen - CVD24</t>
  </si>
  <si>
    <t>DMC Fed 56.2% T19 - Regular - CVD25</t>
  </si>
  <si>
    <t>DMC BHS 43.8% - Regular - CVD25</t>
  </si>
  <si>
    <t>DMC Fed 69.34% T19 - BCCTP - CVD25</t>
  </si>
  <si>
    <t>DMC BHS 30.66% - BCCTP - CVD25</t>
  </si>
  <si>
    <t>DMC Fed 56.2% T19 - Hospital Presumptive Eligibility - CVD25</t>
  </si>
  <si>
    <t>DMC BHS 43.8% - Hospital Presumptive Eligibility - CVD25</t>
  </si>
  <si>
    <t>DMC Fed 56.2% T19 - Not Newly Eligible County Compassionate Release Citizen - CVD25</t>
  </si>
  <si>
    <t>DMC BHS 43.8% - T19 - Not Newly Eligible County Compassionate Release Citizen - CVD25</t>
  </si>
  <si>
    <t>REGSB75</t>
  </si>
  <si>
    <t>MCHIPSB75</t>
  </si>
  <si>
    <t>MCHIPE3 - CVD19</t>
  </si>
  <si>
    <t>HFE3 - CVD19</t>
  </si>
  <si>
    <t>AWPO-CVD19</t>
  </si>
  <si>
    <t>TLICE3 - CVD19</t>
  </si>
  <si>
    <t>LIHP 90/10</t>
  </si>
  <si>
    <t>LIHP 65/35 - CVD19</t>
  </si>
  <si>
    <t>LHIP SB75</t>
  </si>
  <si>
    <t>MCAP3 - CVD19</t>
  </si>
  <si>
    <t xml:space="preserve">HPE - CVD19 </t>
  </si>
  <si>
    <t>HPEMCHIPE3 - CVD19</t>
  </si>
  <si>
    <t>ICUA19SB75</t>
  </si>
  <si>
    <t>MCHIPICUA19E3 - CVD19</t>
  </si>
  <si>
    <t>NNECCRC - CVD19</t>
  </si>
  <si>
    <t>PWT19 - CVD19</t>
  </si>
  <si>
    <t>PWT19SB75</t>
  </si>
  <si>
    <t>NEPNA1964 90/10</t>
  </si>
  <si>
    <t>203-n</t>
  </si>
  <si>
    <t>104a-n</t>
  </si>
  <si>
    <t>DMC BHS 43.8% - ACA Infants/Children &lt; age 19 - CVD19</t>
  </si>
  <si>
    <t>251-r</t>
  </si>
  <si>
    <t>151a-r</t>
  </si>
  <si>
    <t xml:space="preserve">DMC BHS 30.66% T21 - ACA MCHIPE Infants/Children &lt; age 19 </t>
  </si>
  <si>
    <t>209-s</t>
  </si>
  <si>
    <t>104a-s</t>
  </si>
  <si>
    <t>DMC BHS 43.8% - ACA Parents/Other Caretakers - CVD19</t>
  </si>
  <si>
    <t>203-t</t>
  </si>
  <si>
    <t>104a-t</t>
  </si>
  <si>
    <t>203-v</t>
  </si>
  <si>
    <t>104a-v</t>
  </si>
  <si>
    <t>DMC BHS 43.8% - ACA Pregnant Women - CVD19</t>
  </si>
  <si>
    <t>203-w</t>
  </si>
  <si>
    <t>104a-w</t>
  </si>
  <si>
    <t>DMC BHS 30.66% - ACA Pregnant Women - CVD19</t>
  </si>
  <si>
    <t>DMC Fed 69.34% - CalWorks Trafficking Victim -  Effective: 10/01/2020 - 12/31/2020</t>
  </si>
  <si>
    <t>CWTCVAPTVE3-CVD19</t>
  </si>
  <si>
    <t>DMC SGF 100% T21 - ACA Pregnant Women - Young Adult Expansion</t>
  </si>
  <si>
    <t>PWT19-YAE</t>
  </si>
  <si>
    <t>DMC SGF 100% T19 - Adults Newly Eligible Aged 19-64 - Young Adult Expansion</t>
  </si>
  <si>
    <t>NEPNA-YAE</t>
  </si>
  <si>
    <t>DMC Fed 69.34% - CalWorks Trafficking Victim</t>
  </si>
  <si>
    <t>111a-cw</t>
  </si>
  <si>
    <t>111-cw</t>
  </si>
  <si>
    <t>DMC Fed 30.66% - CalWorks Trafficking Victim</t>
  </si>
  <si>
    <t>DMC BHS 100% T19 - ACA Pregnant Women for Young Adult Expansion</t>
  </si>
  <si>
    <t>DMC BHS 100% T19 - Adults Newly Eligible Aged 19-64 - Young Adult Expansion</t>
  </si>
  <si>
    <t>257-y</t>
  </si>
  <si>
    <t>256-y</t>
  </si>
  <si>
    <t>212-v</t>
  </si>
  <si>
    <t>DMC SGF 100% T19 - ACA Pregnant Women for Young Adult Expansion</t>
  </si>
  <si>
    <t>211-v</t>
  </si>
  <si>
    <t>DMC SGF 100% T19 - ACA Parents/Other Caretakers - Young Adult Expansion</t>
  </si>
  <si>
    <t>PAOCRT19-YAE</t>
  </si>
  <si>
    <t>DMC BHS T19 100% - Hospital Presumptive Eligibility - Young Adult Expansion</t>
  </si>
  <si>
    <t>HPE-YAE</t>
  </si>
  <si>
    <t>213-k</t>
  </si>
  <si>
    <t>212-t</t>
  </si>
  <si>
    <t>213-t</t>
  </si>
  <si>
    <t>DMC BHS 100% T19 - ACA Parents/Other Caretakers - Young Adult Expansion</t>
  </si>
  <si>
    <t>FISCAL YEAR 21-22</t>
  </si>
  <si>
    <t>DMC Fed 56.2% - CalWorks Trafficking Victim</t>
  </si>
  <si>
    <t>CWTCVAPTV50/50</t>
  </si>
  <si>
    <t>115a-cw</t>
  </si>
  <si>
    <t>115-cw</t>
  </si>
  <si>
    <t>DMC BHS 43.8% - CalWorks Trafficking Victim</t>
  </si>
  <si>
    <t>hide row?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</si>
</sst>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&quot;$&quot;#,##0.00"/>
    <numFmt numFmtId="167" formatCode="0.00_);[Red]\(0.00\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b/>
      <sz val="10"/>
      <name val="Arial Narrow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Narrow"/>
      <family val="2"/>
    </font>
    <font>
      <sz val="11"/>
      <name val="Calibri"/>
      <family val="2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darkTrellis"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darkGray">
        <bgColor indexed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6">
    <xf numFmtId="37" fontId="0" fillId="2" borderId="0"/>
    <xf numFmtId="0" fontId="11" fillId="0" borderId="0">
      <alignment vertical="center"/>
    </xf>
    <xf numFmtId="43" fontId="2" fillId="0" borderId="0" applyFont="0" applyFill="0" applyBorder="0" applyAlignment="0" applyProtection="0"/>
    <xf numFmtId="37" fontId="2" fillId="2" borderId="0"/>
    <xf numFmtId="44" fontId="18" fillId="0" borderId="0" applyFont="0" applyFill="0" applyBorder="0" applyAlignment="0" applyProtection="0"/>
    <xf numFmtId="0" fontId="1" fillId="0" borderId="0"/>
  </cellStyleXfs>
  <cellXfs count="601">
    <xf numFmtId="37" fontId="0" fillId="2" borderId="0" xfId="0" applyNumberFormat="1"/>
    <xf numFmtId="37" fontId="0" fillId="2" borderId="0" xfId="0" applyNumberFormat="1" applyBorder="1"/>
    <xf numFmtId="0" fontId="0" fillId="2" borderId="0" xfId="0" applyNumberFormat="1" applyAlignment="1">
      <alignment horizontal="centerContinuous"/>
    </xf>
    <xf numFmtId="0" fontId="0" fillId="2" borderId="0" xfId="0" applyNumberFormat="1"/>
    <xf numFmtId="0" fontId="0" fillId="2" borderId="0" xfId="0" applyNumberFormat="1" applyBorder="1"/>
    <xf numFmtId="37" fontId="0" fillId="2" borderId="0" xfId="0" applyNumberFormat="1" applyAlignment="1"/>
    <xf numFmtId="2" fontId="0" fillId="2" borderId="0" xfId="0" applyNumberFormat="1" applyBorder="1" applyProtection="1"/>
    <xf numFmtId="37" fontId="14" fillId="2" borderId="0" xfId="0" applyNumberFormat="1" applyFont="1" applyBorder="1" applyProtection="1"/>
    <xf numFmtId="37" fontId="15" fillId="2" borderId="18" xfId="0" applyNumberFormat="1" applyFont="1" applyBorder="1" applyAlignment="1" applyProtection="1">
      <alignment horizontal="center"/>
    </xf>
    <xf numFmtId="37" fontId="16" fillId="2" borderId="0" xfId="0" applyNumberFormat="1" applyFont="1" applyBorder="1" applyProtection="1"/>
    <xf numFmtId="37" fontId="10" fillId="0" borderId="0" xfId="0" applyNumberFormat="1" applyFont="1" applyFill="1" applyBorder="1" applyAlignment="1" applyProtection="1">
      <alignment horizontal="center"/>
    </xf>
    <xf numFmtId="37" fontId="16" fillId="2" borderId="20" xfId="0" applyNumberFormat="1" applyFont="1" applyBorder="1" applyAlignment="1" applyProtection="1">
      <alignment horizontal="center" wrapText="1"/>
    </xf>
    <xf numFmtId="37" fontId="16" fillId="2" borderId="21" xfId="0" applyNumberFormat="1" applyFont="1" applyBorder="1" applyAlignment="1" applyProtection="1">
      <alignment horizontal="center" wrapText="1"/>
    </xf>
    <xf numFmtId="37" fontId="0" fillId="2" borderId="0" xfId="0" applyNumberFormat="1" applyProtection="1"/>
    <xf numFmtId="37" fontId="0" fillId="2" borderId="0" xfId="0" applyNumberFormat="1" applyAlignment="1" applyProtection="1"/>
    <xf numFmtId="37" fontId="0" fillId="2" borderId="0" xfId="0" applyNumberFormat="1" applyBorder="1" applyProtection="1"/>
    <xf numFmtId="0" fontId="0" fillId="2" borderId="0" xfId="0" applyNumberFormat="1" applyAlignment="1" applyProtection="1">
      <alignment horizontal="right"/>
    </xf>
    <xf numFmtId="0" fontId="5" fillId="2" borderId="0" xfId="0" applyNumberFormat="1" applyFont="1" applyAlignment="1" applyProtection="1">
      <alignment horizontal="center"/>
    </xf>
    <xf numFmtId="0" fontId="0" fillId="2" borderId="0" xfId="0" applyNumberFormat="1" applyAlignment="1" applyProtection="1">
      <alignment horizontal="centerContinuous"/>
    </xf>
    <xf numFmtId="37" fontId="0" fillId="2" borderId="0" xfId="0" applyNumberFormat="1" applyAlignment="1" applyProtection="1">
      <alignment horizontal="right"/>
    </xf>
    <xf numFmtId="37" fontId="0" fillId="3" borderId="0" xfId="0" applyNumberFormat="1" applyFill="1" applyProtection="1"/>
    <xf numFmtId="0" fontId="0" fillId="2" borderId="0" xfId="0" applyNumberFormat="1" applyBorder="1" applyProtection="1"/>
    <xf numFmtId="37" fontId="0" fillId="2" borderId="0" xfId="0" applyNumberFormat="1" applyBorder="1" applyAlignment="1" applyProtection="1"/>
    <xf numFmtId="0" fontId="0" fillId="2" borderId="0" xfId="0" applyNumberFormat="1" applyProtection="1"/>
    <xf numFmtId="0" fontId="5" fillId="2" borderId="0" xfId="0" applyNumberFormat="1" applyFont="1" applyBorder="1" applyAlignment="1" applyProtection="1"/>
    <xf numFmtId="0" fontId="17" fillId="2" borderId="0" xfId="0" applyNumberFormat="1" applyFont="1" applyBorder="1" applyAlignment="1" applyProtection="1">
      <alignment horizontal="center" wrapText="1"/>
    </xf>
    <xf numFmtId="39" fontId="10" fillId="9" borderId="19" xfId="0" applyNumberFormat="1" applyFont="1" applyFill="1" applyBorder="1" applyProtection="1"/>
    <xf numFmtId="39" fontId="0" fillId="9" borderId="19" xfId="0" applyNumberFormat="1" applyFill="1" applyBorder="1" applyProtection="1"/>
    <xf numFmtId="37" fontId="10" fillId="2" borderId="0" xfId="0" applyNumberFormat="1" applyFont="1" applyBorder="1" applyProtection="1"/>
    <xf numFmtId="37" fontId="3" fillId="2" borderId="0" xfId="0" applyNumberFormat="1" applyFont="1" applyBorder="1" applyProtection="1"/>
    <xf numFmtId="0" fontId="0" fillId="2" borderId="0" xfId="0" applyNumberFormat="1" applyAlignment="1" applyProtection="1">
      <alignment horizontal="center"/>
    </xf>
    <xf numFmtId="0" fontId="5" fillId="5" borderId="25" xfId="0" applyNumberFormat="1" applyFont="1" applyFill="1" applyBorder="1" applyAlignment="1" applyProtection="1">
      <alignment wrapText="1"/>
    </xf>
    <xf numFmtId="0" fontId="4" fillId="5" borderId="41" xfId="0" applyNumberFormat="1" applyFont="1" applyFill="1" applyBorder="1" applyAlignment="1" applyProtection="1">
      <alignment horizontal="center" vertical="center" wrapText="1"/>
    </xf>
    <xf numFmtId="0" fontId="4" fillId="5" borderId="42" xfId="0" applyNumberFormat="1" applyFont="1" applyFill="1" applyBorder="1" applyAlignment="1" applyProtection="1">
      <alignment horizontal="center" vertical="top" wrapText="1"/>
    </xf>
    <xf numFmtId="0" fontId="6" fillId="5" borderId="39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Border="1" applyAlignment="1" applyProtection="1">
      <alignment horizontal="right"/>
    </xf>
    <xf numFmtId="0" fontId="0" fillId="2" borderId="44" xfId="0" applyNumberFormat="1" applyBorder="1" applyAlignment="1" applyProtection="1">
      <alignment horizontal="right"/>
    </xf>
    <xf numFmtId="0" fontId="8" fillId="2" borderId="0" xfId="0" applyNumberFormat="1" applyFont="1" applyBorder="1" applyAlignment="1" applyProtection="1">
      <alignment horizontal="center"/>
    </xf>
    <xf numFmtId="39" fontId="0" fillId="2" borderId="6" xfId="0" applyNumberFormat="1" applyBorder="1" applyProtection="1"/>
    <xf numFmtId="39" fontId="0" fillId="2" borderId="45" xfId="0" applyNumberFormat="1" applyBorder="1" applyProtection="1"/>
    <xf numFmtId="39" fontId="3" fillId="2" borderId="13" xfId="0" applyNumberFormat="1" applyFont="1" applyBorder="1" applyProtection="1"/>
    <xf numFmtId="0" fontId="0" fillId="2" borderId="3" xfId="0" applyNumberFormat="1" applyBorder="1" applyAlignment="1" applyProtection="1">
      <alignment horizontal="right"/>
    </xf>
    <xf numFmtId="43" fontId="4" fillId="2" borderId="12" xfId="2" applyFont="1" applyFill="1" applyBorder="1" applyAlignment="1" applyProtection="1"/>
    <xf numFmtId="43" fontId="10" fillId="2" borderId="13" xfId="2" applyFont="1" applyFill="1" applyBorder="1" applyAlignment="1" applyProtection="1"/>
    <xf numFmtId="0" fontId="0" fillId="3" borderId="0" xfId="0" applyNumberFormat="1" applyFill="1" applyBorder="1" applyProtection="1"/>
    <xf numFmtId="0" fontId="0" fillId="2" borderId="0" xfId="0" applyNumberFormat="1" applyBorder="1" applyAlignment="1" applyProtection="1">
      <alignment horizontal="right"/>
    </xf>
    <xf numFmtId="37" fontId="3" fillId="2" borderId="3" xfId="0" applyNumberFormat="1" applyFont="1" applyBorder="1" applyAlignment="1" applyProtection="1">
      <alignment horizontal="right"/>
    </xf>
    <xf numFmtId="43" fontId="3" fillId="2" borderId="37" xfId="2" applyFont="1" applyFill="1" applyBorder="1" applyProtection="1"/>
    <xf numFmtId="43" fontId="3" fillId="2" borderId="46" xfId="2" applyFont="1" applyFill="1" applyBorder="1" applyProtection="1"/>
    <xf numFmtId="39" fontId="3" fillId="2" borderId="12" xfId="0" applyNumberFormat="1" applyFont="1" applyBorder="1" applyProtection="1"/>
    <xf numFmtId="0" fontId="0" fillId="11" borderId="24" xfId="0" applyNumberFormat="1" applyFill="1" applyBorder="1" applyAlignment="1" applyProtection="1">
      <alignment horizontal="right"/>
    </xf>
    <xf numFmtId="39" fontId="0" fillId="11" borderId="43" xfId="0" applyNumberFormat="1" applyFill="1" applyBorder="1" applyProtection="1"/>
    <xf numFmtId="39" fontId="3" fillId="11" borderId="2" xfId="0" applyNumberFormat="1" applyFont="1" applyFill="1" applyBorder="1" applyProtection="1"/>
    <xf numFmtId="43" fontId="10" fillId="11" borderId="2" xfId="2" applyFont="1" applyFill="1" applyBorder="1" applyAlignment="1" applyProtection="1"/>
    <xf numFmtId="43" fontId="3" fillId="11" borderId="14" xfId="2" applyFont="1" applyFill="1" applyBorder="1" applyProtection="1"/>
    <xf numFmtId="39" fontId="10" fillId="9" borderId="19" xfId="0" applyNumberFormat="1" applyFont="1" applyFill="1" applyBorder="1" applyAlignment="1" applyProtection="1"/>
    <xf numFmtId="0" fontId="0" fillId="2" borderId="0" xfId="0" applyNumberFormat="1" applyAlignment="1" applyProtection="1"/>
    <xf numFmtId="0" fontId="0" fillId="2" borderId="0" xfId="0" applyNumberFormat="1" applyAlignment="1"/>
    <xf numFmtId="0" fontId="5" fillId="2" borderId="0" xfId="0" applyNumberFormat="1" applyFont="1" applyBorder="1" applyAlignment="1" applyProtection="1"/>
    <xf numFmtId="37" fontId="0" fillId="2" borderId="0" xfId="0" applyNumberFormat="1" applyBorder="1" applyAlignment="1" applyProtection="1"/>
    <xf numFmtId="37" fontId="2" fillId="7" borderId="19" xfId="0" applyNumberFormat="1" applyFont="1" applyFill="1" applyBorder="1" applyAlignment="1" applyProtection="1">
      <alignment horizontal="right"/>
      <protection locked="0"/>
    </xf>
    <xf numFmtId="37" fontId="3" fillId="0" borderId="0" xfId="0" applyNumberFormat="1" applyFont="1" applyFill="1" applyBorder="1" applyAlignment="1" applyProtection="1"/>
    <xf numFmtId="37" fontId="0" fillId="0" borderId="0" xfId="0" applyNumberFormat="1" applyFill="1" applyAlignment="1" applyProtection="1"/>
    <xf numFmtId="0" fontId="0" fillId="0" borderId="0" xfId="0" applyNumberFormat="1" applyFill="1" applyProtection="1"/>
    <xf numFmtId="37" fontId="2" fillId="0" borderId="0" xfId="0" applyNumberFormat="1" applyFont="1" applyFill="1" applyBorder="1" applyAlignment="1" applyProtection="1"/>
    <xf numFmtId="37" fontId="0" fillId="0" borderId="0" xfId="0" applyNumberFormat="1" applyFill="1" applyBorder="1" applyAlignment="1" applyProtection="1"/>
    <xf numFmtId="15" fontId="5" fillId="2" borderId="0" xfId="0" applyNumberFormat="1" applyFont="1" applyAlignment="1" applyProtection="1">
      <alignment horizontal="center"/>
    </xf>
    <xf numFmtId="0" fontId="2" fillId="2" borderId="0" xfId="0" applyNumberFormat="1" applyFont="1" applyProtection="1"/>
    <xf numFmtId="37" fontId="14" fillId="2" borderId="0" xfId="0" applyNumberFormat="1" applyFont="1" applyBorder="1" applyAlignment="1" applyProtection="1">
      <alignment horizontal="left"/>
    </xf>
    <xf numFmtId="37" fontId="0" fillId="0" borderId="2" xfId="0" applyNumberFormat="1" applyFill="1" applyBorder="1" applyProtection="1"/>
    <xf numFmtId="37" fontId="0" fillId="0" borderId="22" xfId="0" applyNumberFormat="1" applyFill="1" applyBorder="1" applyProtection="1"/>
    <xf numFmtId="37" fontId="2" fillId="13" borderId="2" xfId="0" applyNumberFormat="1" applyFont="1" applyFill="1" applyBorder="1" applyProtection="1"/>
    <xf numFmtId="39" fontId="2" fillId="13" borderId="2" xfId="0" applyNumberFormat="1" applyFont="1" applyFill="1" applyBorder="1" applyProtection="1"/>
    <xf numFmtId="2" fontId="0" fillId="2" borderId="46" xfId="0" applyNumberFormat="1" applyBorder="1" applyProtection="1"/>
    <xf numFmtId="0" fontId="5" fillId="2" borderId="57" xfId="0" applyNumberFormat="1" applyFont="1" applyBorder="1" applyProtection="1"/>
    <xf numFmtId="0" fontId="8" fillId="2" borderId="58" xfId="0" applyNumberFormat="1" applyFont="1" applyBorder="1" applyAlignment="1" applyProtection="1">
      <alignment horizontal="center" wrapText="1"/>
    </xf>
    <xf numFmtId="0" fontId="8" fillId="2" borderId="59" xfId="0" applyNumberFormat="1" applyFont="1" applyBorder="1" applyAlignment="1" applyProtection="1">
      <alignment horizontal="center" wrapText="1"/>
    </xf>
    <xf numFmtId="0" fontId="8" fillId="2" borderId="55" xfId="0" applyNumberFormat="1" applyFont="1" applyBorder="1" applyAlignment="1" applyProtection="1">
      <alignment horizontal="center" wrapText="1"/>
    </xf>
    <xf numFmtId="0" fontId="6" fillId="5" borderId="0" xfId="0" applyNumberFormat="1" applyFont="1" applyFill="1" applyBorder="1" applyAlignment="1" applyProtection="1">
      <alignment horizontal="center" vertical="center" wrapText="1"/>
    </xf>
    <xf numFmtId="37" fontId="9" fillId="0" borderId="0" xfId="0" applyNumberFormat="1" applyFont="1" applyFill="1" applyBorder="1" applyProtection="1"/>
    <xf numFmtId="37" fontId="0" fillId="12" borderId="0" xfId="0" applyNumberFormat="1" applyFill="1" applyBorder="1" applyProtection="1"/>
    <xf numFmtId="37" fontId="16" fillId="2" borderId="38" xfId="0" applyNumberFormat="1" applyFont="1" applyBorder="1" applyAlignment="1" applyProtection="1">
      <alignment horizontal="center" wrapText="1"/>
    </xf>
    <xf numFmtId="37" fontId="16" fillId="2" borderId="7" xfId="0" applyNumberFormat="1" applyFont="1" applyBorder="1" applyAlignment="1" applyProtection="1">
      <alignment horizontal="center" wrapText="1"/>
    </xf>
    <xf numFmtId="37" fontId="16" fillId="2" borderId="39" xfId="0" applyNumberFormat="1" applyFont="1" applyBorder="1" applyAlignment="1" applyProtection="1">
      <alignment horizontal="center" wrapText="1"/>
    </xf>
    <xf numFmtId="37" fontId="0" fillId="0" borderId="0" xfId="0" applyNumberFormat="1" applyFill="1" applyBorder="1" applyProtection="1"/>
    <xf numFmtId="2" fontId="0" fillId="2" borderId="60" xfId="0" applyNumberFormat="1" applyBorder="1" applyProtection="1"/>
    <xf numFmtId="2" fontId="0" fillId="2" borderId="33" xfId="0" applyNumberFormat="1" applyBorder="1" applyProtection="1"/>
    <xf numFmtId="2" fontId="0" fillId="2" borderId="2" xfId="0" applyNumberFormat="1" applyBorder="1" applyProtection="1"/>
    <xf numFmtId="2" fontId="0" fillId="2" borderId="14" xfId="0" applyNumberFormat="1" applyBorder="1" applyProtection="1"/>
    <xf numFmtId="37" fontId="4" fillId="0" borderId="0" xfId="0" applyNumberFormat="1" applyFont="1" applyFill="1" applyBorder="1" applyProtection="1"/>
    <xf numFmtId="39" fontId="2" fillId="7" borderId="19" xfId="0" applyNumberFormat="1" applyFont="1" applyFill="1" applyBorder="1" applyAlignment="1" applyProtection="1">
      <alignment horizontal="right"/>
      <protection locked="0"/>
    </xf>
    <xf numFmtId="39" fontId="2" fillId="7" borderId="14" xfId="0" applyNumberFormat="1" applyFont="1" applyFill="1" applyBorder="1" applyAlignment="1" applyProtection="1">
      <alignment horizontal="right"/>
      <protection locked="0"/>
    </xf>
    <xf numFmtId="37" fontId="2" fillId="2" borderId="0" xfId="0" applyNumberFormat="1" applyFont="1"/>
    <xf numFmtId="37" fontId="0" fillId="0" borderId="56" xfId="0" applyNumberFormat="1" applyFill="1" applyBorder="1" applyProtection="1"/>
    <xf numFmtId="37" fontId="0" fillId="0" borderId="10" xfId="0" applyNumberFormat="1" applyFill="1" applyBorder="1" applyProtection="1"/>
    <xf numFmtId="37" fontId="0" fillId="9" borderId="14" xfId="0" applyNumberFormat="1" applyFill="1" applyBorder="1" applyProtection="1"/>
    <xf numFmtId="37" fontId="0" fillId="9" borderId="46" xfId="0" applyNumberFormat="1" applyFill="1" applyBorder="1" applyProtection="1"/>
    <xf numFmtId="37" fontId="9" fillId="9" borderId="63" xfId="0" applyNumberFormat="1" applyFont="1" applyFill="1" applyBorder="1" applyProtection="1"/>
    <xf numFmtId="37" fontId="9" fillId="9" borderId="45" xfId="0" applyNumberFormat="1" applyFont="1" applyFill="1" applyBorder="1" applyProtection="1"/>
    <xf numFmtId="37" fontId="9" fillId="9" borderId="13" xfId="0" applyNumberFormat="1" applyFont="1" applyFill="1" applyBorder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37" fontId="0" fillId="0" borderId="0" xfId="0" applyNumberFormat="1" applyFill="1" applyProtection="1"/>
    <xf numFmtId="0" fontId="4" fillId="5" borderId="65" xfId="0" applyNumberFormat="1" applyFont="1" applyFill="1" applyBorder="1" applyProtection="1"/>
    <xf numFmtId="0" fontId="4" fillId="5" borderId="66" xfId="0" applyNumberFormat="1" applyFont="1" applyFill="1" applyBorder="1" applyProtection="1"/>
    <xf numFmtId="0" fontId="4" fillId="5" borderId="67" xfId="0" applyNumberFormat="1" applyFont="1" applyFill="1" applyBorder="1" applyProtection="1"/>
    <xf numFmtId="0" fontId="4" fillId="5" borderId="37" xfId="0" applyNumberFormat="1" applyFont="1" applyFill="1" applyBorder="1" applyAlignment="1" applyProtection="1">
      <alignment horizontal="right"/>
    </xf>
    <xf numFmtId="0" fontId="0" fillId="2" borderId="68" xfId="0" applyNumberFormat="1" applyBorder="1" applyProtection="1"/>
    <xf numFmtId="0" fontId="0" fillId="2" borderId="61" xfId="0" applyNumberFormat="1" applyBorder="1" applyProtection="1"/>
    <xf numFmtId="0" fontId="4" fillId="5" borderId="69" xfId="0" applyNumberFormat="1" applyFont="1" applyFill="1" applyBorder="1" applyProtection="1"/>
    <xf numFmtId="0" fontId="0" fillId="2" borderId="70" xfId="0" applyNumberFormat="1" applyBorder="1" applyProtection="1"/>
    <xf numFmtId="0" fontId="0" fillId="2" borderId="71" xfId="0" applyNumberFormat="1" applyBorder="1" applyProtection="1"/>
    <xf numFmtId="37" fontId="16" fillId="2" borderId="16" xfId="0" applyNumberFormat="1" applyFont="1" applyBorder="1" applyAlignment="1" applyProtection="1">
      <alignment horizontal="center" wrapText="1"/>
    </xf>
    <xf numFmtId="37" fontId="13" fillId="2" borderId="0" xfId="0" applyNumberFormat="1" applyFont="1" applyBorder="1" applyAlignment="1" applyProtection="1">
      <alignment horizontal="center"/>
    </xf>
    <xf numFmtId="37" fontId="2" fillId="0" borderId="2" xfId="0" applyFont="1" applyFill="1" applyBorder="1" applyAlignment="1">
      <alignment wrapText="1"/>
    </xf>
    <xf numFmtId="37" fontId="2" fillId="0" borderId="27" xfId="0" applyFont="1" applyFill="1" applyBorder="1" applyAlignment="1">
      <alignment wrapText="1"/>
    </xf>
    <xf numFmtId="37" fontId="2" fillId="0" borderId="88" xfId="0" applyFont="1" applyFill="1" applyBorder="1" applyAlignment="1">
      <alignment wrapText="1"/>
    </xf>
    <xf numFmtId="37" fontId="2" fillId="2" borderId="88" xfId="0" applyFont="1" applyBorder="1" applyAlignment="1">
      <alignment wrapText="1"/>
    </xf>
    <xf numFmtId="37" fontId="2" fillId="0" borderId="2" xfId="0" applyFont="1" applyFill="1" applyBorder="1" applyAlignment="1">
      <alignment horizontal="left" vertical="center" wrapText="1"/>
    </xf>
    <xf numFmtId="165" fontId="2" fillId="0" borderId="88" xfId="2" applyNumberFormat="1" applyFont="1" applyFill="1" applyBorder="1" applyAlignment="1">
      <alignment horizontal="center"/>
    </xf>
    <xf numFmtId="165" fontId="2" fillId="0" borderId="88" xfId="2" applyNumberFormat="1" applyFont="1" applyFill="1" applyBorder="1" applyAlignment="1" applyProtection="1">
      <alignment horizontal="center"/>
    </xf>
    <xf numFmtId="165" fontId="2" fillId="0" borderId="27" xfId="2" applyNumberFormat="1" applyFont="1" applyFill="1" applyBorder="1" applyAlignment="1" applyProtection="1">
      <alignment horizontal="center"/>
    </xf>
    <xf numFmtId="165" fontId="2" fillId="0" borderId="2" xfId="2" applyNumberFormat="1" applyFont="1" applyFill="1" applyBorder="1" applyAlignment="1" applyProtection="1">
      <alignment horizontal="center"/>
    </xf>
    <xf numFmtId="165" fontId="2" fillId="0" borderId="2" xfId="2" applyNumberFormat="1" applyFont="1" applyFill="1" applyBorder="1" applyAlignment="1">
      <alignment horizontal="center"/>
    </xf>
    <xf numFmtId="37" fontId="2" fillId="0" borderId="2" xfId="0" applyFont="1" applyFill="1" applyBorder="1" applyAlignment="1">
      <alignment horizontal="center"/>
    </xf>
    <xf numFmtId="37" fontId="2" fillId="0" borderId="88" xfId="0" applyFont="1" applyFill="1" applyBorder="1" applyAlignment="1">
      <alignment horizontal="center"/>
    </xf>
    <xf numFmtId="37" fontId="2" fillId="0" borderId="88" xfId="0" applyFont="1" applyFill="1" applyBorder="1" applyAlignment="1">
      <alignment horizontal="center" vertical="top"/>
    </xf>
    <xf numFmtId="37" fontId="2" fillId="0" borderId="89" xfId="0" applyFont="1" applyFill="1" applyBorder="1" applyAlignment="1">
      <alignment horizontal="center"/>
    </xf>
    <xf numFmtId="165" fontId="2" fillId="0" borderId="90" xfId="2" applyNumberFormat="1" applyFont="1" applyFill="1" applyBorder="1" applyAlignment="1">
      <alignment horizontal="center"/>
    </xf>
    <xf numFmtId="165" fontId="2" fillId="0" borderId="90" xfId="2" applyNumberFormat="1" applyFont="1" applyFill="1" applyBorder="1" applyAlignment="1" applyProtection="1">
      <alignment horizontal="center"/>
    </xf>
    <xf numFmtId="165" fontId="2" fillId="0" borderId="18" xfId="2" applyNumberFormat="1" applyFont="1" applyFill="1" applyBorder="1" applyAlignment="1" applyProtection="1">
      <alignment horizontal="center"/>
    </xf>
    <xf numFmtId="165" fontId="2" fillId="0" borderId="89" xfId="2" applyNumberFormat="1" applyFont="1" applyFill="1" applyBorder="1" applyAlignment="1" applyProtection="1">
      <alignment horizontal="center"/>
    </xf>
    <xf numFmtId="165" fontId="2" fillId="0" borderId="89" xfId="2" applyNumberFormat="1" applyFont="1" applyFill="1" applyBorder="1" applyAlignment="1">
      <alignment horizontal="center"/>
    </xf>
    <xf numFmtId="37" fontId="2" fillId="0" borderId="90" xfId="0" applyFont="1" applyFill="1" applyBorder="1" applyAlignment="1">
      <alignment horizontal="center"/>
    </xf>
    <xf numFmtId="37" fontId="2" fillId="0" borderId="90" xfId="0" applyFont="1" applyFill="1" applyBorder="1" applyAlignment="1">
      <alignment horizontal="center" vertical="top"/>
    </xf>
    <xf numFmtId="165" fontId="2" fillId="0" borderId="76" xfId="2" applyNumberFormat="1" applyFont="1" applyFill="1" applyBorder="1" applyAlignment="1">
      <alignment horizontal="center"/>
    </xf>
    <xf numFmtId="165" fontId="2" fillId="0" borderId="76" xfId="2" applyNumberFormat="1" applyFont="1" applyFill="1" applyBorder="1" applyAlignment="1" applyProtection="1">
      <alignment horizontal="center"/>
    </xf>
    <xf numFmtId="165" fontId="2" fillId="0" borderId="93" xfId="2" applyNumberFormat="1" applyFont="1" applyFill="1" applyBorder="1" applyAlignment="1" applyProtection="1">
      <alignment horizontal="center"/>
    </xf>
    <xf numFmtId="165" fontId="2" fillId="0" borderId="12" xfId="2" applyNumberFormat="1" applyFont="1" applyFill="1" applyBorder="1" applyAlignment="1" applyProtection="1">
      <alignment horizontal="center"/>
    </xf>
    <xf numFmtId="37" fontId="2" fillId="0" borderId="94" xfId="0" applyFont="1" applyFill="1" applyBorder="1" applyAlignment="1">
      <alignment wrapText="1"/>
    </xf>
    <xf numFmtId="165" fontId="2" fillId="0" borderId="12" xfId="2" applyNumberFormat="1" applyFont="1" applyFill="1" applyBorder="1" applyAlignment="1">
      <alignment horizontal="center"/>
    </xf>
    <xf numFmtId="37" fontId="2" fillId="2" borderId="94" xfId="0" applyFont="1" applyBorder="1" applyAlignment="1">
      <alignment wrapText="1"/>
    </xf>
    <xf numFmtId="37" fontId="2" fillId="0" borderId="12" xfId="0" applyFont="1" applyFill="1" applyBorder="1" applyAlignment="1">
      <alignment horizontal="center"/>
    </xf>
    <xf numFmtId="37" fontId="2" fillId="0" borderId="76" xfId="0" applyFont="1" applyFill="1" applyBorder="1" applyAlignment="1">
      <alignment horizontal="center"/>
    </xf>
    <xf numFmtId="37" fontId="2" fillId="0" borderId="76" xfId="0" applyFont="1" applyFill="1" applyBorder="1" applyAlignment="1">
      <alignment horizontal="center" vertical="top"/>
    </xf>
    <xf numFmtId="37" fontId="2" fillId="2" borderId="96" xfId="0" applyFont="1" applyBorder="1"/>
    <xf numFmtId="167" fontId="2" fillId="0" borderId="97" xfId="0" applyNumberFormat="1" applyFont="1" applyFill="1" applyBorder="1"/>
    <xf numFmtId="37" fontId="14" fillId="2" borderId="0" xfId="0" applyNumberFormat="1" applyFont="1" applyAlignment="1" applyProtection="1">
      <alignment horizontal="center"/>
    </xf>
    <xf numFmtId="37" fontId="14" fillId="2" borderId="0" xfId="0" applyNumberFormat="1" applyFont="1" applyAlignment="1" applyProtection="1">
      <alignment wrapText="1"/>
    </xf>
    <xf numFmtId="2" fontId="2" fillId="2" borderId="0" xfId="0" applyNumberFormat="1" applyFont="1" applyAlignment="1" applyProtection="1">
      <alignment horizontal="center"/>
    </xf>
    <xf numFmtId="37" fontId="2" fillId="2" borderId="0" xfId="0" applyNumberFormat="1" applyFont="1" applyAlignment="1" applyProtection="1">
      <alignment horizontal="center"/>
    </xf>
    <xf numFmtId="2" fontId="2" fillId="2" borderId="0" xfId="0" applyNumberFormat="1" applyFont="1" applyProtection="1"/>
    <xf numFmtId="2" fontId="2" fillId="2" borderId="0" xfId="0" applyNumberFormat="1" applyFont="1"/>
    <xf numFmtId="37" fontId="2" fillId="12" borderId="0" xfId="0" applyFont="1" applyFill="1"/>
    <xf numFmtId="37" fontId="2" fillId="0" borderId="0" xfId="0" applyFont="1" applyFill="1"/>
    <xf numFmtId="2" fontId="2" fillId="2" borderId="0" xfId="0" applyNumberFormat="1" applyFont="1" applyAlignment="1" applyProtection="1"/>
    <xf numFmtId="37" fontId="2" fillId="2" borderId="0" xfId="0" applyFont="1"/>
    <xf numFmtId="2" fontId="3" fillId="2" borderId="0" xfId="0" applyNumberFormat="1" applyFont="1" applyAlignment="1"/>
    <xf numFmtId="37" fontId="3" fillId="2" borderId="0" xfId="0" applyNumberFormat="1" applyFont="1" applyAlignment="1"/>
    <xf numFmtId="37" fontId="2" fillId="2" borderId="0" xfId="0" applyNumberFormat="1" applyFont="1" applyAlignment="1"/>
    <xf numFmtId="2" fontId="2" fillId="2" borderId="0" xfId="0" applyNumberFormat="1" applyFont="1" applyAlignment="1"/>
    <xf numFmtId="37" fontId="3" fillId="2" borderId="0" xfId="0" applyNumberFormat="1" applyFont="1" applyAlignment="1" applyProtection="1">
      <alignment horizontal="center" wrapText="1"/>
    </xf>
    <xf numFmtId="37" fontId="2" fillId="2" borderId="0" xfId="0" applyNumberFormat="1" applyFont="1" applyAlignment="1" applyProtection="1">
      <alignment horizontal="right"/>
    </xf>
    <xf numFmtId="2" fontId="2" fillId="2" borderId="0" xfId="0" applyNumberFormat="1" applyFont="1" applyAlignment="1" applyProtection="1">
      <alignment horizontal="right"/>
    </xf>
    <xf numFmtId="0" fontId="2" fillId="2" borderId="18" xfId="0" applyNumberFormat="1" applyFont="1" applyBorder="1" applyAlignment="1" applyProtection="1">
      <alignment horizontal="center"/>
    </xf>
    <xf numFmtId="2" fontId="2" fillId="2" borderId="0" xfId="0" applyNumberFormat="1" applyFont="1" applyAlignment="1" applyProtection="1">
      <alignment horizontal="right" wrapText="1"/>
    </xf>
    <xf numFmtId="37" fontId="3" fillId="2" borderId="0" xfId="0" applyNumberFormat="1" applyFont="1" applyBorder="1" applyAlignment="1" applyProtection="1">
      <alignment horizontal="center"/>
    </xf>
    <xf numFmtId="2" fontId="2" fillId="2" borderId="0" xfId="0" applyNumberFormat="1" applyFont="1" applyBorder="1" applyAlignment="1" applyProtection="1">
      <alignment horizontal="center"/>
    </xf>
    <xf numFmtId="37" fontId="2" fillId="2" borderId="0" xfId="0" applyNumberFormat="1" applyFont="1" applyBorder="1" applyAlignment="1" applyProtection="1">
      <alignment horizontal="center"/>
    </xf>
    <xf numFmtId="2" fontId="2" fillId="2" borderId="0" xfId="0" applyNumberFormat="1" applyFont="1" applyBorder="1" applyProtection="1"/>
    <xf numFmtId="37" fontId="2" fillId="2" borderId="0" xfId="0" applyNumberFormat="1" applyFont="1" applyBorder="1"/>
    <xf numFmtId="2" fontId="2" fillId="2" borderId="0" xfId="0" applyNumberFormat="1" applyFont="1" applyAlignment="1">
      <alignment horizontal="right"/>
    </xf>
    <xf numFmtId="164" fontId="2" fillId="2" borderId="0" xfId="0" applyNumberFormat="1" applyFont="1" applyBorder="1"/>
    <xf numFmtId="37" fontId="2" fillId="2" borderId="0" xfId="0" applyNumberFormat="1" applyFont="1" applyAlignment="1">
      <alignment wrapText="1"/>
    </xf>
    <xf numFmtId="37" fontId="2" fillId="12" borderId="0" xfId="0" applyNumberFormat="1" applyFont="1" applyFill="1"/>
    <xf numFmtId="37" fontId="2" fillId="0" borderId="0" xfId="0" applyNumberFormat="1" applyFont="1" applyFill="1"/>
    <xf numFmtId="37" fontId="14" fillId="2" borderId="0" xfId="0" applyNumberFormat="1" applyFont="1" applyBorder="1" applyAlignment="1" applyProtection="1">
      <alignment wrapText="1"/>
    </xf>
    <xf numFmtId="37" fontId="2" fillId="2" borderId="18" xfId="0" applyNumberFormat="1" applyFont="1" applyBorder="1" applyAlignment="1" applyProtection="1">
      <alignment horizontal="center"/>
    </xf>
    <xf numFmtId="2" fontId="2" fillId="2" borderId="18" xfId="0" applyNumberFormat="1" applyFont="1" applyBorder="1" applyProtection="1"/>
    <xf numFmtId="37" fontId="2" fillId="2" borderId="18" xfId="0" applyNumberFormat="1" applyFont="1" applyBorder="1"/>
    <xf numFmtId="2" fontId="2" fillId="2" borderId="18" xfId="0" applyNumberFormat="1" applyFont="1" applyBorder="1" applyAlignment="1">
      <alignment horizontal="right"/>
    </xf>
    <xf numFmtId="164" fontId="2" fillId="12" borderId="0" xfId="0" applyNumberFormat="1" applyFont="1" applyFill="1" applyBorder="1" applyAlignment="1">
      <alignment vertical="center"/>
    </xf>
    <xf numFmtId="37" fontId="2" fillId="12" borderId="0" xfId="0" applyNumberFormat="1" applyFont="1" applyFill="1" applyAlignment="1">
      <alignment vertical="center"/>
    </xf>
    <xf numFmtId="37" fontId="23" fillId="2" borderId="39" xfId="0" applyNumberFormat="1" applyFont="1" applyBorder="1" applyAlignment="1" applyProtection="1">
      <alignment horizontal="center" wrapText="1"/>
    </xf>
    <xf numFmtId="2" fontId="23" fillId="2" borderId="16" xfId="0" applyNumberFormat="1" applyFont="1" applyBorder="1" applyAlignment="1" applyProtection="1">
      <alignment horizontal="center" wrapText="1"/>
    </xf>
    <xf numFmtId="2" fontId="23" fillId="2" borderId="7" xfId="0" applyNumberFormat="1" applyFont="1" applyBorder="1" applyAlignment="1" applyProtection="1">
      <alignment horizontal="center" wrapText="1"/>
    </xf>
    <xf numFmtId="37" fontId="23" fillId="2" borderId="16" xfId="0" applyNumberFormat="1" applyFont="1" applyBorder="1" applyAlignment="1" applyProtection="1">
      <alignment horizontal="center" wrapText="1"/>
    </xf>
    <xf numFmtId="37" fontId="23" fillId="12" borderId="16" xfId="0" applyNumberFormat="1" applyFont="1" applyFill="1" applyBorder="1" applyAlignment="1">
      <alignment horizontal="center" wrapText="1"/>
    </xf>
    <xf numFmtId="49" fontId="2" fillId="0" borderId="51" xfId="0" applyNumberFormat="1" applyFont="1" applyFill="1" applyBorder="1" applyAlignment="1" applyProtection="1">
      <alignment horizontal="center"/>
    </xf>
    <xf numFmtId="37" fontId="2" fillId="0" borderId="19" xfId="0" applyNumberFormat="1" applyFont="1" applyFill="1" applyBorder="1" applyAlignment="1" applyProtection="1">
      <alignment wrapText="1"/>
    </xf>
    <xf numFmtId="2" fontId="24" fillId="0" borderId="19" xfId="2" applyNumberFormat="1" applyFont="1" applyFill="1" applyBorder="1" applyAlignment="1" applyProtection="1"/>
    <xf numFmtId="37" fontId="24" fillId="0" borderId="8" xfId="0" applyNumberFormat="1" applyFont="1" applyFill="1" applyBorder="1" applyAlignment="1" applyProtection="1">
      <alignment horizontal="center"/>
    </xf>
    <xf numFmtId="49" fontId="2" fillId="0" borderId="9" xfId="0" applyNumberFormat="1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wrapText="1"/>
    </xf>
    <xf numFmtId="44" fontId="24" fillId="0" borderId="9" xfId="4" applyFont="1" applyFill="1" applyBorder="1" applyAlignment="1">
      <alignment vertical="center"/>
    </xf>
    <xf numFmtId="49" fontId="2" fillId="0" borderId="12" xfId="0" applyNumberFormat="1" applyFont="1" applyFill="1" applyBorder="1" applyAlignment="1" applyProtection="1">
      <alignment horizontal="center"/>
    </xf>
    <xf numFmtId="37" fontId="2" fillId="0" borderId="2" xfId="0" applyNumberFormat="1" applyFont="1" applyFill="1" applyBorder="1" applyAlignment="1" applyProtection="1">
      <alignment wrapText="1"/>
    </xf>
    <xf numFmtId="2" fontId="24" fillId="0" borderId="2" xfId="2" applyNumberFormat="1" applyFont="1" applyFill="1" applyBorder="1" applyAlignment="1" applyProtection="1"/>
    <xf numFmtId="49" fontId="2" fillId="0" borderId="2" xfId="0" applyNumberFormat="1" applyFont="1" applyFill="1" applyBorder="1" applyAlignment="1" applyProtection="1">
      <alignment wrapText="1"/>
    </xf>
    <xf numFmtId="37" fontId="25" fillId="0" borderId="3" xfId="0" applyFont="1" applyFill="1" applyBorder="1" applyAlignment="1" applyProtection="1">
      <alignment horizontal="center"/>
    </xf>
    <xf numFmtId="44" fontId="24" fillId="0" borderId="12" xfId="4" applyFont="1" applyFill="1" applyBorder="1" applyAlignment="1">
      <alignment vertical="center"/>
    </xf>
    <xf numFmtId="2" fontId="14" fillId="0" borderId="2" xfId="2" applyNumberFormat="1" applyFont="1" applyFill="1" applyBorder="1" applyAlignment="1" applyProtection="1"/>
    <xf numFmtId="37" fontId="14" fillId="0" borderId="91" xfId="0" applyNumberFormat="1" applyFont="1" applyFill="1" applyBorder="1" applyAlignment="1" applyProtection="1">
      <alignment horizontal="center"/>
    </xf>
    <xf numFmtId="37" fontId="2" fillId="0" borderId="12" xfId="0" applyNumberFormat="1" applyFont="1" applyFill="1" applyBorder="1" applyAlignment="1" applyProtection="1">
      <alignment horizontal="center"/>
    </xf>
    <xf numFmtId="2" fontId="25" fillId="0" borderId="2" xfId="2" applyNumberFormat="1" applyFont="1" applyFill="1" applyBorder="1" applyAlignment="1" applyProtection="1">
      <alignment horizontal="center"/>
    </xf>
    <xf numFmtId="37" fontId="25" fillId="0" borderId="3" xfId="0" applyNumberFormat="1" applyFont="1" applyFill="1" applyBorder="1" applyAlignment="1" applyProtection="1">
      <alignment horizontal="center"/>
    </xf>
    <xf numFmtId="2" fontId="25" fillId="0" borderId="2" xfId="2" applyNumberFormat="1" applyFont="1" applyFill="1" applyBorder="1" applyAlignment="1" applyProtection="1"/>
    <xf numFmtId="2" fontId="24" fillId="0" borderId="27" xfId="2" applyNumberFormat="1" applyFont="1" applyFill="1" applyBorder="1" applyAlignment="1" applyProtection="1"/>
    <xf numFmtId="37" fontId="24" fillId="0" borderId="13" xfId="0" applyNumberFormat="1" applyFont="1" applyFill="1" applyBorder="1" applyAlignment="1" applyProtection="1">
      <alignment horizontal="center"/>
    </xf>
    <xf numFmtId="37" fontId="24" fillId="0" borderId="33" xfId="0" applyNumberFormat="1" applyFont="1" applyFill="1" applyBorder="1" applyAlignment="1" applyProtection="1">
      <alignment horizontal="center"/>
    </xf>
    <xf numFmtId="49" fontId="2" fillId="0" borderId="89" xfId="0" applyNumberFormat="1" applyFont="1" applyFill="1" applyBorder="1" applyAlignment="1" applyProtection="1">
      <alignment horizontal="center"/>
    </xf>
    <xf numFmtId="37" fontId="24" fillId="0" borderId="95" xfId="0" applyNumberFormat="1" applyFont="1" applyFill="1" applyBorder="1" applyAlignment="1" applyProtection="1">
      <alignment horizontal="center"/>
    </xf>
    <xf numFmtId="2" fontId="24" fillId="0" borderId="88" xfId="2" applyNumberFormat="1" applyFont="1" applyFill="1" applyBorder="1" applyAlignment="1" applyProtection="1"/>
    <xf numFmtId="37" fontId="25" fillId="0" borderId="13" xfId="0" applyNumberFormat="1" applyFont="1" applyFill="1" applyBorder="1" applyAlignment="1" applyProtection="1">
      <alignment horizontal="center"/>
    </xf>
    <xf numFmtId="2" fontId="14" fillId="0" borderId="88" xfId="2" applyNumberFormat="1" applyFont="1" applyFill="1" applyBorder="1" applyAlignment="1" applyProtection="1"/>
    <xf numFmtId="37" fontId="24" fillId="0" borderId="92" xfId="0" applyNumberFormat="1" applyFont="1" applyFill="1" applyBorder="1" applyAlignment="1" applyProtection="1">
      <alignment horizontal="center"/>
    </xf>
    <xf numFmtId="37" fontId="25" fillId="0" borderId="88" xfId="0" applyNumberFormat="1" applyFont="1" applyFill="1" applyBorder="1" applyAlignment="1" applyProtection="1">
      <alignment horizontal="center"/>
    </xf>
    <xf numFmtId="37" fontId="24" fillId="0" borderId="3" xfId="0" applyNumberFormat="1" applyFont="1" applyFill="1" applyBorder="1" applyAlignment="1" applyProtection="1">
      <alignment horizontal="center"/>
    </xf>
    <xf numFmtId="37" fontId="25" fillId="0" borderId="13" xfId="0" applyFont="1" applyFill="1" applyBorder="1" applyAlignment="1" applyProtection="1">
      <alignment horizontal="center"/>
    </xf>
    <xf numFmtId="37" fontId="14" fillId="0" borderId="2" xfId="0" applyNumberFormat="1" applyFont="1" applyFill="1" applyBorder="1" applyAlignment="1" applyProtection="1">
      <alignment wrapText="1"/>
    </xf>
    <xf numFmtId="37" fontId="2" fillId="0" borderId="2" xfId="0" applyFont="1" applyFill="1" applyBorder="1" applyAlignment="1" applyProtection="1">
      <alignment wrapText="1"/>
    </xf>
    <xf numFmtId="37" fontId="2" fillId="0" borderId="88" xfId="0" applyNumberFormat="1" applyFont="1" applyFill="1" applyBorder="1" applyAlignment="1" applyProtection="1">
      <alignment wrapText="1"/>
    </xf>
    <xf numFmtId="37" fontId="2" fillId="0" borderId="94" xfId="0" applyNumberFormat="1" applyFont="1" applyFill="1" applyBorder="1" applyAlignment="1" applyProtection="1">
      <alignment wrapText="1"/>
    </xf>
    <xf numFmtId="37" fontId="25" fillId="0" borderId="88" xfId="0" applyFont="1" applyFill="1" applyBorder="1" applyAlignment="1" applyProtection="1">
      <alignment horizontal="center"/>
    </xf>
    <xf numFmtId="37" fontId="2" fillId="2" borderId="88" xfId="0" applyFont="1" applyBorder="1" applyAlignment="1">
      <alignment horizontal="center"/>
    </xf>
    <xf numFmtId="37" fontId="2" fillId="2" borderId="76" xfId="0" applyFont="1" applyBorder="1" applyAlignment="1">
      <alignment horizontal="center"/>
    </xf>
    <xf numFmtId="37" fontId="2" fillId="2" borderId="90" xfId="0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7" fontId="26" fillId="0" borderId="2" xfId="0" applyNumberFormat="1" applyFont="1" applyFill="1" applyBorder="1" applyAlignment="1" applyProtection="1">
      <alignment wrapText="1"/>
    </xf>
    <xf numFmtId="37" fontId="27" fillId="0" borderId="2" xfId="0" applyNumberFormat="1" applyFont="1" applyFill="1" applyBorder="1" applyAlignment="1" applyProtection="1">
      <alignment wrapText="1"/>
    </xf>
    <xf numFmtId="37" fontId="25" fillId="0" borderId="27" xfId="0" applyNumberFormat="1" applyFont="1" applyFill="1" applyBorder="1" applyAlignment="1" applyProtection="1">
      <alignment horizontal="center"/>
    </xf>
    <xf numFmtId="37" fontId="2" fillId="0" borderId="2" xfId="0" applyNumberFormat="1" applyFont="1" applyFill="1" applyBorder="1" applyAlignment="1" applyProtection="1">
      <alignment horizontal="center" wrapText="1"/>
    </xf>
    <xf numFmtId="37" fontId="2" fillId="0" borderId="12" xfId="0" applyNumberFormat="1" applyFont="1" applyFill="1" applyBorder="1" applyAlignment="1" applyProtection="1">
      <alignment horizontal="center" wrapText="1"/>
    </xf>
    <xf numFmtId="49" fontId="2" fillId="0" borderId="2" xfId="0" applyNumberFormat="1" applyFont="1" applyFill="1" applyBorder="1" applyAlignment="1" applyProtection="1">
      <alignment horizontal="center"/>
    </xf>
    <xf numFmtId="37" fontId="2" fillId="0" borderId="12" xfId="0" applyFont="1" applyFill="1" applyBorder="1" applyAlignment="1" applyProtection="1">
      <alignment horizontal="center"/>
    </xf>
    <xf numFmtId="37" fontId="2" fillId="0" borderId="1" xfId="0" applyNumberFormat="1" applyFont="1" applyFill="1" applyBorder="1" applyAlignment="1" applyProtection="1">
      <alignment horizontal="center" wrapText="1"/>
    </xf>
    <xf numFmtId="2" fontId="2" fillId="0" borderId="2" xfId="2" applyNumberFormat="1" applyFont="1" applyFill="1" applyBorder="1"/>
    <xf numFmtId="37" fontId="24" fillId="0" borderId="3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wrapText="1"/>
    </xf>
    <xf numFmtId="2" fontId="24" fillId="0" borderId="2" xfId="2" applyNumberFormat="1" applyFont="1" applyFill="1" applyBorder="1" applyAlignment="1"/>
    <xf numFmtId="37" fontId="2" fillId="0" borderId="1" xfId="0" applyFont="1" applyFill="1" applyBorder="1" applyAlignment="1">
      <alignment horizontal="center"/>
    </xf>
    <xf numFmtId="37" fontId="2" fillId="10" borderId="3" xfId="0" applyFont="1" applyFill="1" applyBorder="1"/>
    <xf numFmtId="37" fontId="2" fillId="10" borderId="12" xfId="0" applyFont="1" applyFill="1" applyBorder="1"/>
    <xf numFmtId="37" fontId="2" fillId="10" borderId="2" xfId="0" applyFont="1" applyFill="1" applyBorder="1"/>
    <xf numFmtId="2" fontId="2" fillId="10" borderId="2" xfId="2" applyNumberFormat="1" applyFont="1" applyFill="1" applyBorder="1"/>
    <xf numFmtId="37" fontId="2" fillId="0" borderId="1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37" fontId="14" fillId="10" borderId="3" xfId="0" applyNumberFormat="1" applyFont="1" applyFill="1" applyBorder="1" applyAlignment="1" applyProtection="1">
      <alignment horizontal="center"/>
    </xf>
    <xf numFmtId="37" fontId="14" fillId="10" borderId="12" xfId="0" applyNumberFormat="1" applyFont="1" applyFill="1" applyBorder="1" applyAlignment="1" applyProtection="1">
      <alignment horizontal="center"/>
    </xf>
    <xf numFmtId="37" fontId="14" fillId="10" borderId="2" xfId="0" applyNumberFormat="1" applyFont="1" applyFill="1" applyBorder="1" applyAlignment="1" applyProtection="1">
      <alignment horizontal="center"/>
    </xf>
    <xf numFmtId="2" fontId="14" fillId="10" borderId="2" xfId="2" applyNumberFormat="1" applyFont="1" applyFill="1" applyBorder="1" applyAlignment="1" applyProtection="1">
      <alignment horizontal="center"/>
    </xf>
    <xf numFmtId="37" fontId="14" fillId="0" borderId="2" xfId="0" applyFont="1" applyFill="1" applyBorder="1" applyAlignment="1" applyProtection="1">
      <alignment wrapText="1"/>
    </xf>
    <xf numFmtId="49" fontId="2" fillId="0" borderId="0" xfId="0" applyNumberFormat="1" applyFont="1" applyFill="1" applyBorder="1" applyAlignment="1" applyProtection="1">
      <alignment horizontal="center"/>
    </xf>
    <xf numFmtId="37" fontId="14" fillId="0" borderId="0" xfId="0" applyFont="1" applyFill="1" applyBorder="1" applyAlignment="1" applyProtection="1">
      <alignment wrapText="1"/>
    </xf>
    <xf numFmtId="2" fontId="14" fillId="0" borderId="0" xfId="2" applyNumberFormat="1" applyFont="1" applyFill="1" applyBorder="1" applyAlignment="1" applyProtection="1"/>
    <xf numFmtId="37" fontId="14" fillId="0" borderId="0" xfId="0" applyNumberFormat="1" applyFont="1" applyFill="1" applyBorder="1" applyAlignment="1" applyProtection="1">
      <alignment horizontal="center"/>
    </xf>
    <xf numFmtId="2" fontId="14" fillId="0" borderId="0" xfId="2" applyNumberFormat="1" applyFont="1" applyFill="1" applyBorder="1" applyAlignment="1" applyProtection="1">
      <alignment horizontal="center"/>
    </xf>
    <xf numFmtId="37" fontId="2" fillId="0" borderId="0" xfId="0" applyNumberFormat="1" applyFont="1" applyFill="1" applyAlignment="1">
      <alignment vertical="center" wrapText="1"/>
    </xf>
    <xf numFmtId="37" fontId="14" fillId="0" borderId="0" xfId="0" applyNumberFormat="1" applyFont="1" applyFill="1" applyBorder="1" applyAlignment="1" applyProtection="1">
      <alignment wrapText="1"/>
    </xf>
    <xf numFmtId="2" fontId="2" fillId="0" borderId="0" xfId="2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2" fontId="2" fillId="0" borderId="0" xfId="2" applyNumberFormat="1" applyFont="1" applyFill="1" applyBorder="1" applyAlignment="1" applyProtection="1">
      <alignment vertical="center"/>
    </xf>
    <xf numFmtId="2" fontId="2" fillId="0" borderId="0" xfId="2" applyNumberFormat="1" applyFont="1" applyFill="1" applyBorder="1" applyAlignment="1">
      <alignment vertical="center"/>
    </xf>
    <xf numFmtId="37" fontId="2" fillId="0" borderId="0" xfId="0" applyNumberFormat="1" applyFont="1" applyFill="1" applyAlignment="1">
      <alignment vertical="center"/>
    </xf>
    <xf numFmtId="37" fontId="3" fillId="0" borderId="0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2" fontId="2" fillId="0" borderId="0" xfId="2" applyNumberFormat="1" applyFont="1" applyFill="1" applyBorder="1" applyProtection="1"/>
    <xf numFmtId="37" fontId="2" fillId="0" borderId="0" xfId="0" applyNumberFormat="1" applyFont="1" applyFill="1" applyAlignment="1">
      <alignment wrapText="1"/>
    </xf>
    <xf numFmtId="2" fontId="2" fillId="0" borderId="0" xfId="2" applyNumberFormat="1" applyFont="1" applyFill="1" applyBorder="1"/>
    <xf numFmtId="37" fontId="25" fillId="0" borderId="19" xfId="0" applyNumberFormat="1" applyFont="1" applyFill="1" applyBorder="1" applyAlignment="1" applyProtection="1">
      <alignment wrapText="1"/>
    </xf>
    <xf numFmtId="37" fontId="24" fillId="0" borderId="27" xfId="0" applyNumberFormat="1" applyFont="1" applyFill="1" applyBorder="1" applyAlignment="1" applyProtection="1">
      <alignment horizontal="center"/>
    </xf>
    <xf numFmtId="37" fontId="2" fillId="0" borderId="2" xfId="0" applyNumberFormat="1" applyFont="1" applyFill="1" applyBorder="1" applyAlignment="1" applyProtection="1">
      <alignment horizontal="left" wrapText="1"/>
    </xf>
    <xf numFmtId="0" fontId="2" fillId="0" borderId="12" xfId="0" applyNumberFormat="1" applyFont="1" applyFill="1" applyBorder="1" applyAlignment="1" applyProtection="1">
      <alignment horizontal="center"/>
    </xf>
    <xf numFmtId="37" fontId="25" fillId="0" borderId="2" xfId="0" applyNumberFormat="1" applyFont="1" applyFill="1" applyBorder="1" applyAlignment="1" applyProtection="1">
      <alignment wrapText="1"/>
    </xf>
    <xf numFmtId="2" fontId="24" fillId="0" borderId="2" xfId="2" applyNumberFormat="1" applyFont="1" applyFill="1" applyBorder="1" applyAlignment="1" applyProtection="1">
      <alignment horizontal="right" vertical="center"/>
    </xf>
    <xf numFmtId="37" fontId="2" fillId="0" borderId="30" xfId="0" applyNumberFormat="1" applyFont="1" applyFill="1" applyBorder="1" applyAlignment="1" applyProtection="1">
      <alignment horizontal="center" vertical="center"/>
    </xf>
    <xf numFmtId="37" fontId="24" fillId="0" borderId="0" xfId="0" applyFont="1" applyFill="1"/>
    <xf numFmtId="49" fontId="2" fillId="0" borderId="17" xfId="0" applyNumberFormat="1" applyFont="1" applyFill="1" applyBorder="1" applyAlignment="1" applyProtection="1">
      <alignment horizontal="center"/>
    </xf>
    <xf numFmtId="37" fontId="25" fillId="0" borderId="22" xfId="0" applyNumberFormat="1" applyFont="1" applyFill="1" applyBorder="1" applyAlignment="1" applyProtection="1">
      <alignment wrapText="1"/>
    </xf>
    <xf numFmtId="37" fontId="2" fillId="0" borderId="8" xfId="0" applyNumberFormat="1" applyFont="1" applyFill="1" applyBorder="1" applyAlignment="1" applyProtection="1">
      <alignment horizontal="center" vertical="center"/>
    </xf>
    <xf numFmtId="2" fontId="2" fillId="0" borderId="15" xfId="2" applyNumberFormat="1" applyFont="1" applyFill="1" applyBorder="1" applyAlignment="1" applyProtection="1">
      <alignment horizontal="center" vertical="center"/>
    </xf>
    <xf numFmtId="37" fontId="2" fillId="12" borderId="3" xfId="0" applyFont="1" applyFill="1" applyBorder="1"/>
    <xf numFmtId="37" fontId="2" fillId="12" borderId="40" xfId="0" applyFont="1" applyFill="1" applyBorder="1"/>
    <xf numFmtId="37" fontId="2" fillId="0" borderId="40" xfId="0" applyNumberFormat="1" applyFont="1" applyFill="1" applyBorder="1"/>
    <xf numFmtId="37" fontId="24" fillId="12" borderId="0" xfId="0" applyNumberFormat="1" applyFont="1" applyFill="1" applyBorder="1" applyAlignment="1" applyProtection="1">
      <alignment horizontal="center"/>
    </xf>
    <xf numFmtId="2" fontId="24" fillId="12" borderId="0" xfId="2" applyNumberFormat="1" applyFont="1" applyFill="1" applyBorder="1" applyAlignment="1" applyProtection="1"/>
    <xf numFmtId="0" fontId="2" fillId="0" borderId="51" xfId="0" applyNumberFormat="1" applyFont="1" applyFill="1" applyBorder="1" applyAlignment="1" applyProtection="1">
      <alignment horizontal="center"/>
    </xf>
    <xf numFmtId="37" fontId="25" fillId="2" borderId="19" xfId="0" applyNumberFormat="1" applyFont="1" applyBorder="1" applyAlignment="1" applyProtection="1">
      <alignment wrapText="1"/>
    </xf>
    <xf numFmtId="2" fontId="24" fillId="0" borderId="19" xfId="2" applyNumberFormat="1" applyFont="1" applyFill="1" applyBorder="1" applyAlignment="1" applyProtection="1">
      <alignment horizontal="right" vertical="center"/>
    </xf>
    <xf numFmtId="37" fontId="2" fillId="12" borderId="0" xfId="0" applyNumberFormat="1" applyFont="1" applyFill="1" applyBorder="1" applyAlignment="1" applyProtection="1">
      <alignment horizontal="center" vertical="center"/>
    </xf>
    <xf numFmtId="2" fontId="2" fillId="12" borderId="0" xfId="0" applyNumberFormat="1" applyFont="1" applyFill="1" applyBorder="1" applyAlignment="1" applyProtection="1">
      <alignment vertical="center"/>
    </xf>
    <xf numFmtId="37" fontId="2" fillId="12" borderId="0" xfId="0" applyNumberFormat="1" applyFont="1" applyFill="1" applyBorder="1" applyAlignment="1">
      <alignment vertical="center" wrapText="1"/>
    </xf>
    <xf numFmtId="2" fontId="2" fillId="12" borderId="0" xfId="0" applyNumberFormat="1" applyFont="1" applyFill="1" applyBorder="1" applyAlignment="1">
      <alignment vertical="center"/>
    </xf>
    <xf numFmtId="37" fontId="2" fillId="12" borderId="0" xfId="0" applyNumberFormat="1" applyFont="1" applyFill="1" applyBorder="1" applyAlignment="1">
      <alignment vertical="center"/>
    </xf>
    <xf numFmtId="37" fontId="25" fillId="2" borderId="22" xfId="0" applyNumberFormat="1" applyFont="1" applyBorder="1" applyAlignment="1" applyProtection="1">
      <alignment wrapText="1"/>
    </xf>
    <xf numFmtId="37" fontId="2" fillId="12" borderId="8" xfId="0" applyNumberFormat="1" applyFont="1" applyFill="1" applyBorder="1" applyAlignment="1" applyProtection="1">
      <alignment horizontal="center" vertical="center"/>
    </xf>
    <xf numFmtId="37" fontId="2" fillId="12" borderId="0" xfId="0" applyNumberFormat="1" applyFont="1" applyFill="1" applyAlignment="1">
      <alignment vertical="center" wrapText="1"/>
    </xf>
    <xf numFmtId="37" fontId="3" fillId="10" borderId="2" xfId="0" applyNumberFormat="1" applyFont="1" applyFill="1" applyBorder="1" applyAlignment="1" applyProtection="1">
      <alignment horizontal="center"/>
    </xf>
    <xf numFmtId="37" fontId="14" fillId="10" borderId="2" xfId="0" applyNumberFormat="1" applyFont="1" applyFill="1" applyBorder="1" applyAlignment="1" applyProtection="1">
      <alignment wrapText="1"/>
    </xf>
    <xf numFmtId="2" fontId="2" fillId="10" borderId="15" xfId="0" applyNumberFormat="1" applyFont="1" applyFill="1" applyBorder="1" applyAlignment="1" applyProtection="1">
      <alignment horizontal="center"/>
    </xf>
    <xf numFmtId="37" fontId="2" fillId="12" borderId="0" xfId="0" applyNumberFormat="1" applyFont="1" applyFill="1" applyBorder="1" applyAlignment="1" applyProtection="1">
      <alignment horizontal="center"/>
    </xf>
    <xf numFmtId="2" fontId="2" fillId="12" borderId="0" xfId="0" applyNumberFormat="1" applyFont="1" applyFill="1" applyBorder="1" applyProtection="1"/>
    <xf numFmtId="37" fontId="2" fillId="12" borderId="0" xfId="0" applyNumberFormat="1" applyFont="1" applyFill="1" applyBorder="1"/>
    <xf numFmtId="2" fontId="2" fillId="12" borderId="0" xfId="0" applyNumberFormat="1" applyFont="1" applyFill="1" applyAlignment="1">
      <alignment horizontal="right"/>
    </xf>
    <xf numFmtId="164" fontId="2" fillId="12" borderId="0" xfId="0" applyNumberFormat="1" applyFont="1" applyFill="1" applyBorder="1"/>
    <xf numFmtId="2" fontId="2" fillId="12" borderId="0" xfId="0" applyNumberFormat="1" applyFont="1" applyFill="1" applyBorder="1" applyAlignment="1" applyProtection="1">
      <alignment horizontal="center"/>
    </xf>
    <xf numFmtId="37" fontId="2" fillId="12" borderId="0" xfId="0" applyNumberFormat="1" applyFont="1" applyFill="1" applyBorder="1" applyProtection="1"/>
    <xf numFmtId="2" fontId="3" fillId="2" borderId="47" xfId="0" applyNumberFormat="1" applyFont="1" applyBorder="1" applyAlignment="1">
      <alignment horizontal="center"/>
    </xf>
    <xf numFmtId="0" fontId="3" fillId="2" borderId="48" xfId="0" applyNumberFormat="1" applyFont="1" applyBorder="1" applyAlignment="1">
      <alignment horizontal="center"/>
    </xf>
    <xf numFmtId="2" fontId="3" fillId="2" borderId="23" xfId="0" applyNumberFormat="1" applyFont="1" applyBorder="1" applyAlignment="1">
      <alignment horizontal="center"/>
    </xf>
    <xf numFmtId="37" fontId="3" fillId="2" borderId="23" xfId="0" applyNumberFormat="1" applyFont="1" applyBorder="1" applyAlignment="1">
      <alignment horizontal="center"/>
    </xf>
    <xf numFmtId="0" fontId="2" fillId="8" borderId="7" xfId="0" applyNumberFormat="1" applyFont="1" applyFill="1" applyBorder="1" applyAlignment="1"/>
    <xf numFmtId="37" fontId="2" fillId="8" borderId="38" xfId="0" applyNumberFormat="1" applyFont="1" applyFill="1" applyBorder="1" applyAlignment="1"/>
    <xf numFmtId="0" fontId="2" fillId="8" borderId="32" xfId="0" applyNumberFormat="1" applyFont="1" applyFill="1" applyBorder="1" applyAlignment="1"/>
    <xf numFmtId="0" fontId="2" fillId="8" borderId="74" xfId="0" applyNumberFormat="1" applyFont="1" applyFill="1" applyBorder="1" applyAlignment="1"/>
    <xf numFmtId="37" fontId="2" fillId="0" borderId="0" xfId="0" applyNumberFormat="1" applyFont="1" applyFill="1" applyBorder="1" applyAlignment="1"/>
    <xf numFmtId="37" fontId="2" fillId="0" borderId="19" xfId="0" applyFont="1" applyFill="1" applyBorder="1"/>
    <xf numFmtId="2" fontId="2" fillId="0" borderId="54" xfId="2" applyNumberFormat="1" applyFont="1" applyFill="1" applyBorder="1"/>
    <xf numFmtId="2" fontId="2" fillId="0" borderId="2" xfId="0" applyNumberFormat="1" applyFont="1" applyFill="1" applyBorder="1" applyAlignment="1">
      <alignment vertical="center"/>
    </xf>
    <xf numFmtId="2" fontId="2" fillId="0" borderId="13" xfId="0" applyNumberFormat="1" applyFont="1" applyFill="1" applyBorder="1" applyAlignment="1">
      <alignment vertical="center"/>
    </xf>
    <xf numFmtId="39" fontId="2" fillId="12" borderId="0" xfId="0" applyNumberFormat="1" applyFont="1" applyFill="1"/>
    <xf numFmtId="37" fontId="2" fillId="0" borderId="2" xfId="0" applyFont="1" applyFill="1" applyBorder="1"/>
    <xf numFmtId="2" fontId="2" fillId="0" borderId="1" xfId="2" applyNumberFormat="1" applyFont="1" applyFill="1" applyBorder="1"/>
    <xf numFmtId="37" fontId="2" fillId="12" borderId="0" xfId="0" applyFont="1" applyFill="1" applyBorder="1"/>
    <xf numFmtId="39" fontId="2" fillId="12" borderId="0" xfId="0" applyNumberFormat="1" applyFont="1" applyFill="1" applyBorder="1"/>
    <xf numFmtId="37" fontId="2" fillId="0" borderId="22" xfId="0" applyFont="1" applyFill="1" applyBorder="1"/>
    <xf numFmtId="2" fontId="2" fillId="0" borderId="4" xfId="2" applyNumberFormat="1" applyFont="1" applyFill="1" applyBorder="1"/>
    <xf numFmtId="2" fontId="29" fillId="12" borderId="0" xfId="0" applyNumberFormat="1" applyFont="1" applyFill="1" applyBorder="1" applyAlignment="1">
      <alignment vertical="center"/>
    </xf>
    <xf numFmtId="0" fontId="2" fillId="8" borderId="20" xfId="0" applyNumberFormat="1" applyFont="1" applyFill="1" applyBorder="1" applyAlignment="1"/>
    <xf numFmtId="37" fontId="2" fillId="8" borderId="21" xfId="0" applyNumberFormat="1" applyFont="1" applyFill="1" applyBorder="1" applyAlignment="1"/>
    <xf numFmtId="0" fontId="2" fillId="8" borderId="21" xfId="0" applyNumberFormat="1" applyFont="1" applyFill="1" applyBorder="1" applyAlignment="1"/>
    <xf numFmtId="0" fontId="2" fillId="8" borderId="75" xfId="0" applyNumberFormat="1" applyFont="1" applyFill="1" applyBorder="1" applyAlignment="1"/>
    <xf numFmtId="0" fontId="2" fillId="3" borderId="0" xfId="0" applyNumberFormat="1" applyFont="1" applyFill="1" applyBorder="1"/>
    <xf numFmtId="2" fontId="2" fillId="0" borderId="10" xfId="2" applyNumberFormat="1" applyFont="1" applyFill="1" applyBorder="1"/>
    <xf numFmtId="2" fontId="2" fillId="4" borderId="31" xfId="2" applyNumberFormat="1" applyFont="1" applyFill="1" applyBorder="1"/>
    <xf numFmtId="2" fontId="2" fillId="0" borderId="9" xfId="2" applyNumberFormat="1" applyFont="1" applyFill="1" applyBorder="1"/>
    <xf numFmtId="2" fontId="2" fillId="0" borderId="12" xfId="2" applyNumberFormat="1" applyFont="1" applyFill="1" applyBorder="1"/>
    <xf numFmtId="2" fontId="2" fillId="0" borderId="35" xfId="2" applyNumberFormat="1" applyFont="1" applyFill="1" applyBorder="1"/>
    <xf numFmtId="2" fontId="2" fillId="4" borderId="0" xfId="2" applyNumberFormat="1" applyFont="1" applyFill="1" applyBorder="1"/>
    <xf numFmtId="0" fontId="2" fillId="8" borderId="29" xfId="0" applyNumberFormat="1" applyFont="1" applyFill="1" applyBorder="1" applyAlignment="1"/>
    <xf numFmtId="0" fontId="2" fillId="8" borderId="39" xfId="0" applyNumberFormat="1" applyFont="1" applyFill="1" applyBorder="1" applyAlignment="1"/>
    <xf numFmtId="2" fontId="2" fillId="0" borderId="64" xfId="2" applyNumberFormat="1" applyFont="1" applyFill="1" applyBorder="1"/>
    <xf numFmtId="2" fontId="2" fillId="0" borderId="26" xfId="2" applyNumberFormat="1" applyFont="1" applyFill="1" applyBorder="1"/>
    <xf numFmtId="0" fontId="2" fillId="12" borderId="0" xfId="0" applyNumberFormat="1" applyFont="1" applyFill="1" applyBorder="1"/>
    <xf numFmtId="2" fontId="2" fillId="0" borderId="22" xfId="2" applyNumberFormat="1" applyFont="1" applyFill="1" applyBorder="1"/>
    <xf numFmtId="2" fontId="2" fillId="4" borderId="23" xfId="0" applyNumberFormat="1" applyFont="1" applyFill="1" applyBorder="1"/>
    <xf numFmtId="2" fontId="2" fillId="0" borderId="38" xfId="2" applyNumberFormat="1" applyFont="1" applyFill="1" applyBorder="1"/>
    <xf numFmtId="2" fontId="2" fillId="4" borderId="16" xfId="2" applyNumberFormat="1" applyFont="1" applyFill="1" applyBorder="1"/>
    <xf numFmtId="2" fontId="2" fillId="4" borderId="52" xfId="2" applyNumberFormat="1" applyFont="1" applyFill="1" applyBorder="1"/>
    <xf numFmtId="2" fontId="2" fillId="4" borderId="53" xfId="0" applyNumberFormat="1" applyFont="1" applyFill="1" applyBorder="1"/>
    <xf numFmtId="2" fontId="2" fillId="0" borderId="50" xfId="2" applyNumberFormat="1" applyFont="1" applyFill="1" applyBorder="1"/>
    <xf numFmtId="2" fontId="2" fillId="0" borderId="49" xfId="2" applyNumberFormat="1" applyFont="1" applyFill="1" applyBorder="1"/>
    <xf numFmtId="2" fontId="2" fillId="0" borderId="29" xfId="2" applyNumberFormat="1" applyFont="1" applyFill="1" applyBorder="1"/>
    <xf numFmtId="2" fontId="2" fillId="0" borderId="52" xfId="2" applyNumberFormat="1" applyFont="1" applyFill="1" applyBorder="1"/>
    <xf numFmtId="2" fontId="2" fillId="6" borderId="62" xfId="2" applyNumberFormat="1" applyFont="1" applyFill="1" applyBorder="1" applyProtection="1">
      <protection locked="0"/>
    </xf>
    <xf numFmtId="2" fontId="2" fillId="0" borderId="36" xfId="2" applyNumberFormat="1" applyFont="1" applyFill="1" applyBorder="1"/>
    <xf numFmtId="2" fontId="2" fillId="0" borderId="27" xfId="2" applyNumberFormat="1" applyFont="1" applyFill="1" applyBorder="1"/>
    <xf numFmtId="2" fontId="2" fillId="4" borderId="23" xfId="2" applyNumberFormat="1" applyFont="1" applyFill="1" applyBorder="1"/>
    <xf numFmtId="2" fontId="2" fillId="6" borderId="40" xfId="2" applyNumberFormat="1" applyFont="1" applyFill="1" applyBorder="1" applyProtection="1">
      <protection locked="0"/>
    </xf>
    <xf numFmtId="2" fontId="2" fillId="0" borderId="40" xfId="2" applyNumberFormat="1" applyFont="1" applyFill="1" applyBorder="1"/>
    <xf numFmtId="2" fontId="2" fillId="4" borderId="53" xfId="2" applyNumberFormat="1" applyFont="1" applyFill="1" applyBorder="1"/>
    <xf numFmtId="2" fontId="2" fillId="0" borderId="53" xfId="2" applyNumberFormat="1" applyFont="1" applyFill="1" applyBorder="1"/>
    <xf numFmtId="2" fontId="2" fillId="6" borderId="35" xfId="2" applyNumberFormat="1" applyFont="1" applyFill="1" applyBorder="1" applyProtection="1">
      <protection locked="0"/>
    </xf>
    <xf numFmtId="2" fontId="2" fillId="4" borderId="52" xfId="0" applyNumberFormat="1" applyFont="1" applyFill="1" applyBorder="1"/>
    <xf numFmtId="2" fontId="30" fillId="0" borderId="38" xfId="2" applyNumberFormat="1" applyFont="1" applyFill="1" applyBorder="1"/>
    <xf numFmtId="2" fontId="30" fillId="0" borderId="52" xfId="2" applyNumberFormat="1" applyFont="1" applyFill="1" applyBorder="1"/>
    <xf numFmtId="2" fontId="30" fillId="0" borderId="7" xfId="2" applyNumberFormat="1" applyFont="1" applyFill="1" applyBorder="1"/>
    <xf numFmtId="2" fontId="30" fillId="2" borderId="16" xfId="2" applyNumberFormat="1" applyFont="1" applyFill="1" applyBorder="1"/>
    <xf numFmtId="0" fontId="2" fillId="2" borderId="0" xfId="0" applyNumberFormat="1" applyFont="1"/>
    <xf numFmtId="37" fontId="2" fillId="2" borderId="0" xfId="0" applyFont="1" applyAlignment="1">
      <alignment wrapText="1"/>
    </xf>
    <xf numFmtId="2" fontId="2" fillId="2" borderId="0" xfId="0" applyNumberFormat="1" applyFont="1" applyBorder="1"/>
    <xf numFmtId="37" fontId="2" fillId="2" borderId="31" xfId="0" applyFont="1" applyBorder="1"/>
    <xf numFmtId="37" fontId="2" fillId="2" borderId="11" xfId="0" applyNumberFormat="1" applyFont="1" applyBorder="1" applyAlignment="1">
      <alignment horizontal="center"/>
    </xf>
    <xf numFmtId="37" fontId="3" fillId="2" borderId="33" xfId="0" applyFont="1" applyBorder="1" applyAlignment="1">
      <alignment horizontal="center"/>
    </xf>
    <xf numFmtId="37" fontId="3" fillId="2" borderId="13" xfId="0" applyFont="1" applyBorder="1" applyAlignment="1">
      <alignment horizontal="center"/>
    </xf>
    <xf numFmtId="37" fontId="3" fillId="2" borderId="34" xfId="0" applyFont="1" applyBorder="1" applyAlignment="1">
      <alignment horizontal="center"/>
    </xf>
    <xf numFmtId="2" fontId="2" fillId="2" borderId="32" xfId="0" applyNumberFormat="1" applyFont="1" applyBorder="1"/>
    <xf numFmtId="37" fontId="31" fillId="2" borderId="59" xfId="0" applyNumberFormat="1" applyFont="1" applyBorder="1" applyAlignment="1" applyProtection="1">
      <alignment horizontal="center" wrapText="1"/>
    </xf>
    <xf numFmtId="39" fontId="31" fillId="2" borderId="55" xfId="0" applyNumberFormat="1" applyFont="1" applyBorder="1" applyAlignment="1" applyProtection="1">
      <alignment horizontal="center" wrapText="1"/>
    </xf>
    <xf numFmtId="39" fontId="31" fillId="2" borderId="0" xfId="0" applyNumberFormat="1" applyFont="1" applyBorder="1" applyAlignment="1" applyProtection="1">
      <alignment horizontal="center" wrapText="1"/>
    </xf>
    <xf numFmtId="37" fontId="31" fillId="2" borderId="0" xfId="0" applyNumberFormat="1" applyFont="1" applyAlignment="1">
      <alignment horizontal="center"/>
    </xf>
    <xf numFmtId="37" fontId="31" fillId="14" borderId="20" xfId="0" applyNumberFormat="1" applyFont="1" applyFill="1" applyBorder="1" applyAlignment="1" applyProtection="1">
      <alignment horizontal="center" vertical="center"/>
    </xf>
    <xf numFmtId="37" fontId="2" fillId="2" borderId="0" xfId="0" applyFont="1" applyBorder="1"/>
    <xf numFmtId="37" fontId="31" fillId="14" borderId="21" xfId="0" applyNumberFormat="1" applyFont="1" applyFill="1" applyBorder="1" applyAlignment="1" applyProtection="1">
      <alignment horizontal="center" vertical="center"/>
    </xf>
    <xf numFmtId="37" fontId="31" fillId="14" borderId="39" xfId="0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vertical="center"/>
    </xf>
    <xf numFmtId="37" fontId="32" fillId="2" borderId="51" xfId="0" applyNumberFormat="1" applyFont="1" applyBorder="1" applyProtection="1"/>
    <xf numFmtId="37" fontId="32" fillId="15" borderId="19" xfId="0" applyNumberFormat="1" applyFont="1" applyFill="1" applyBorder="1" applyProtection="1"/>
    <xf numFmtId="39" fontId="32" fillId="16" borderId="80" xfId="0" applyNumberFormat="1" applyFont="1" applyFill="1" applyBorder="1" applyProtection="1">
      <protection locked="0"/>
    </xf>
    <xf numFmtId="37" fontId="32" fillId="2" borderId="0" xfId="0" applyNumberFormat="1" applyFont="1"/>
    <xf numFmtId="37" fontId="32" fillId="2" borderId="12" xfId="0" applyNumberFormat="1" applyFont="1" applyBorder="1" applyProtection="1"/>
    <xf numFmtId="37" fontId="32" fillId="15" borderId="2" xfId="0" applyNumberFormat="1" applyFont="1" applyFill="1" applyBorder="1" applyProtection="1"/>
    <xf numFmtId="39" fontId="32" fillId="16" borderId="77" xfId="0" applyNumberFormat="1" applyFont="1" applyFill="1" applyBorder="1" applyProtection="1">
      <protection locked="0"/>
    </xf>
    <xf numFmtId="37" fontId="32" fillId="2" borderId="17" xfId="0" applyNumberFormat="1" applyFont="1" applyBorder="1" applyProtection="1"/>
    <xf numFmtId="37" fontId="32" fillId="15" borderId="4" xfId="0" applyNumberFormat="1" applyFont="1" applyFill="1" applyBorder="1" applyProtection="1"/>
    <xf numFmtId="37" fontId="32" fillId="15" borderId="0" xfId="0" applyNumberFormat="1" applyFont="1" applyFill="1" applyBorder="1" applyProtection="1"/>
    <xf numFmtId="37" fontId="31" fillId="12" borderId="0" xfId="0" applyNumberFormat="1" applyFont="1" applyFill="1" applyBorder="1" applyAlignment="1" applyProtection="1">
      <alignment horizontal="center" vertical="center"/>
    </xf>
    <xf numFmtId="37" fontId="2" fillId="12" borderId="0" xfId="0" applyNumberFormat="1" applyFont="1" applyFill="1" applyBorder="1" applyAlignment="1" applyProtection="1">
      <alignment vertical="center"/>
    </xf>
    <xf numFmtId="39" fontId="33" fillId="2" borderId="28" xfId="0" applyNumberFormat="1" applyFont="1" applyBorder="1" applyAlignment="1" applyProtection="1">
      <alignment horizontal="right" vertical="center"/>
    </xf>
    <xf numFmtId="39" fontId="32" fillId="16" borderId="72" xfId="0" applyNumberFormat="1" applyFont="1" applyFill="1" applyBorder="1" applyAlignment="1" applyProtection="1">
      <alignment horizontal="right"/>
      <protection locked="0"/>
    </xf>
    <xf numFmtId="37" fontId="32" fillId="2" borderId="0" xfId="0" applyNumberFormat="1" applyFont="1" applyBorder="1" applyAlignment="1">
      <alignment horizontal="center" vertical="center" wrapText="1"/>
    </xf>
    <xf numFmtId="39" fontId="33" fillId="2" borderId="22" xfId="0" applyNumberFormat="1" applyFont="1" applyBorder="1" applyAlignment="1" applyProtection="1">
      <alignment horizontal="right" vertical="center"/>
    </xf>
    <xf numFmtId="39" fontId="32" fillId="16" borderId="13" xfId="0" applyNumberFormat="1" applyFont="1" applyFill="1" applyBorder="1" applyAlignment="1" applyProtection="1">
      <alignment horizontal="right"/>
      <protection locked="0"/>
    </xf>
    <xf numFmtId="37" fontId="31" fillId="2" borderId="0" xfId="0" applyNumberFormat="1" applyFont="1" applyAlignment="1">
      <alignment horizontal="center" wrapText="1"/>
    </xf>
    <xf numFmtId="39" fontId="34" fillId="2" borderId="22" xfId="0" applyNumberFormat="1" applyFont="1" applyBorder="1" applyAlignment="1" applyProtection="1">
      <alignment horizontal="right" vertical="center"/>
    </xf>
    <xf numFmtId="39" fontId="34" fillId="2" borderId="2" xfId="0" applyNumberFormat="1" applyFont="1" applyBorder="1" applyAlignment="1" applyProtection="1">
      <alignment horizontal="right"/>
    </xf>
    <xf numFmtId="39" fontId="32" fillId="16" borderId="13" xfId="0" applyNumberFormat="1" applyFont="1" applyFill="1" applyBorder="1" applyProtection="1">
      <protection locked="0"/>
    </xf>
    <xf numFmtId="37" fontId="34" fillId="2" borderId="2" xfId="0" applyNumberFormat="1" applyFont="1" applyBorder="1" applyAlignment="1" applyProtection="1">
      <alignment horizontal="right"/>
    </xf>
    <xf numFmtId="39" fontId="32" fillId="16" borderId="33" xfId="0" applyNumberFormat="1" applyFont="1" applyFill="1" applyBorder="1" applyProtection="1">
      <protection locked="0"/>
    </xf>
    <xf numFmtId="39" fontId="32" fillId="11" borderId="22" xfId="0" applyNumberFormat="1" applyFont="1" applyFill="1" applyBorder="1" applyProtection="1"/>
    <xf numFmtId="39" fontId="32" fillId="11" borderId="33" xfId="0" applyNumberFormat="1" applyFont="1" applyFill="1" applyBorder="1" applyProtection="1">
      <protection locked="0"/>
    </xf>
    <xf numFmtId="37" fontId="31" fillId="2" borderId="19" xfId="0" applyNumberFormat="1" applyFont="1" applyBorder="1" applyAlignment="1" applyProtection="1">
      <alignment horizontal="center"/>
    </xf>
    <xf numFmtId="39" fontId="31" fillId="2" borderId="72" xfId="0" applyNumberFormat="1" applyFont="1" applyBorder="1" applyAlignment="1" applyProtection="1">
      <alignment horizontal="center"/>
    </xf>
    <xf numFmtId="166" fontId="32" fillId="2" borderId="2" xfId="0" applyNumberFormat="1" applyFont="1" applyBorder="1" applyProtection="1"/>
    <xf numFmtId="166" fontId="32" fillId="2" borderId="13" xfId="0" applyNumberFormat="1" applyFont="1" applyBorder="1" applyProtection="1"/>
    <xf numFmtId="166" fontId="32" fillId="2" borderId="81" xfId="0" applyNumberFormat="1" applyFont="1" applyBorder="1" applyProtection="1"/>
    <xf numFmtId="166" fontId="32" fillId="2" borderId="46" xfId="0" applyNumberFormat="1" applyFont="1" applyBorder="1" applyProtection="1"/>
    <xf numFmtId="37" fontId="2" fillId="2" borderId="0" xfId="0" applyNumberFormat="1" applyFont="1" applyProtection="1"/>
    <xf numFmtId="39" fontId="2" fillId="2" borderId="0" xfId="0" applyNumberFormat="1" applyFont="1" applyProtection="1"/>
    <xf numFmtId="39" fontId="2" fillId="12" borderId="0" xfId="0" applyNumberFormat="1" applyFont="1" applyFill="1" applyProtection="1"/>
    <xf numFmtId="37" fontId="35" fillId="12" borderId="0" xfId="0" applyNumberFormat="1" applyFont="1" applyFill="1" applyAlignment="1" applyProtection="1">
      <alignment wrapText="1"/>
    </xf>
    <xf numFmtId="37" fontId="35" fillId="2" borderId="0" xfId="0" applyNumberFormat="1" applyFont="1" applyProtection="1"/>
    <xf numFmtId="37" fontId="2" fillId="0" borderId="98" xfId="0" applyFont="1" applyFill="1" applyBorder="1" applyAlignment="1">
      <alignment horizontal="left" wrapText="1"/>
    </xf>
    <xf numFmtId="37" fontId="2" fillId="0" borderId="98" xfId="0" applyFont="1" applyFill="1" applyBorder="1" applyAlignment="1">
      <alignment wrapText="1"/>
    </xf>
    <xf numFmtId="37" fontId="2" fillId="0" borderId="99" xfId="0" applyFont="1" applyFill="1" applyBorder="1" applyAlignment="1">
      <alignment horizontal="center"/>
    </xf>
    <xf numFmtId="167" fontId="2" fillId="0" borderId="98" xfId="0" applyNumberFormat="1" applyFont="1" applyFill="1" applyBorder="1" applyAlignment="1">
      <alignment wrapText="1"/>
    </xf>
    <xf numFmtId="37" fontId="2" fillId="0" borderId="98" xfId="0" applyNumberFormat="1" applyFont="1" applyFill="1" applyBorder="1" applyAlignment="1" applyProtection="1">
      <alignment wrapText="1"/>
    </xf>
    <xf numFmtId="37" fontId="2" fillId="2" borderId="98" xfId="0" applyFont="1" applyBorder="1" applyAlignment="1">
      <alignment wrapText="1"/>
    </xf>
    <xf numFmtId="37" fontId="14" fillId="0" borderId="98" xfId="0" applyNumberFormat="1" applyFont="1" applyFill="1" applyBorder="1" applyAlignment="1" applyProtection="1">
      <alignment wrapText="1"/>
    </xf>
    <xf numFmtId="37" fontId="2" fillId="0" borderId="98" xfId="0" applyFont="1" applyFill="1" applyBorder="1" applyAlignment="1" applyProtection="1">
      <alignment wrapText="1"/>
    </xf>
    <xf numFmtId="37" fontId="2" fillId="0" borderId="98" xfId="0" applyFont="1" applyFill="1" applyBorder="1" applyAlignment="1">
      <alignment horizontal="left" vertical="center" wrapText="1"/>
    </xf>
    <xf numFmtId="37" fontId="26" fillId="0" borderId="98" xfId="0" applyNumberFormat="1" applyFont="1" applyFill="1" applyBorder="1" applyAlignment="1" applyProtection="1">
      <alignment wrapText="1"/>
    </xf>
    <xf numFmtId="49" fontId="2" fillId="0" borderId="99" xfId="0" applyNumberFormat="1" applyFont="1" applyFill="1" applyBorder="1" applyAlignment="1" applyProtection="1">
      <alignment horizontal="center"/>
    </xf>
    <xf numFmtId="165" fontId="36" fillId="0" borderId="99" xfId="2" applyNumberFormat="1" applyFont="1" applyFill="1" applyBorder="1" applyAlignment="1" applyProtection="1">
      <alignment horizontal="center"/>
    </xf>
    <xf numFmtId="165" fontId="2" fillId="0" borderId="99" xfId="2" applyNumberFormat="1" applyFont="1" applyFill="1" applyBorder="1" applyAlignment="1">
      <alignment horizontal="center"/>
    </xf>
    <xf numFmtId="165" fontId="2" fillId="0" borderId="99" xfId="2" applyNumberFormat="1" applyFont="1" applyFill="1" applyBorder="1" applyAlignment="1" applyProtection="1">
      <alignment horizontal="center"/>
    </xf>
    <xf numFmtId="37" fontId="2" fillId="0" borderId="99" xfId="0" applyFont="1" applyFill="1" applyBorder="1" applyAlignment="1">
      <alignment horizontal="center" wrapText="1"/>
    </xf>
    <xf numFmtId="37" fontId="2" fillId="2" borderId="99" xfId="0" applyFont="1" applyBorder="1" applyAlignment="1">
      <alignment horizontal="center"/>
    </xf>
    <xf numFmtId="2" fontId="0" fillId="0" borderId="2" xfId="0" applyNumberFormat="1" applyFill="1" applyBorder="1" applyProtection="1"/>
    <xf numFmtId="166" fontId="32" fillId="0" borderId="2" xfId="0" applyNumberFormat="1" applyFont="1" applyFill="1" applyBorder="1" applyProtection="1"/>
    <xf numFmtId="37" fontId="2" fillId="0" borderId="96" xfId="0" applyFont="1" applyFill="1" applyBorder="1"/>
    <xf numFmtId="37" fontId="7" fillId="0" borderId="0" xfId="0" applyNumberFormat="1" applyFont="1" applyFill="1" applyBorder="1" applyAlignment="1" applyProtection="1"/>
    <xf numFmtId="37" fontId="2" fillId="7" borderId="54" xfId="0" applyFont="1" applyFill="1" applyBorder="1" applyProtection="1">
      <protection locked="0"/>
    </xf>
    <xf numFmtId="37" fontId="2" fillId="0" borderId="98" xfId="0" applyFont="1" applyFill="1" applyBorder="1" applyAlignment="1">
      <alignment horizontal="left"/>
    </xf>
    <xf numFmtId="37" fontId="24" fillId="0" borderId="100" xfId="0" applyFont="1" applyFill="1" applyBorder="1"/>
    <xf numFmtId="37" fontId="2" fillId="2" borderId="98" xfId="0" applyFont="1" applyBorder="1" applyAlignment="1">
      <alignment horizontal="left"/>
    </xf>
    <xf numFmtId="44" fontId="24" fillId="0" borderId="99" xfId="4" applyFont="1" applyFill="1" applyBorder="1" applyAlignment="1">
      <alignment vertical="center"/>
    </xf>
    <xf numFmtId="37" fontId="24" fillId="0" borderId="100" xfId="0" applyFont="1" applyFill="1" applyBorder="1" applyAlignment="1">
      <alignment wrapText="1"/>
    </xf>
    <xf numFmtId="37" fontId="24" fillId="2" borderId="98" xfId="0" applyFont="1" applyBorder="1" applyAlignment="1">
      <alignment horizontal="center" vertical="center" wrapText="1"/>
    </xf>
    <xf numFmtId="37" fontId="24" fillId="0" borderId="98" xfId="0" applyFont="1" applyFill="1" applyBorder="1" applyAlignment="1">
      <alignment wrapText="1"/>
    </xf>
    <xf numFmtId="37" fontId="24" fillId="2" borderId="98" xfId="0" applyFont="1" applyBorder="1" applyAlignment="1">
      <alignment horizontal="center" vertical="center"/>
    </xf>
    <xf numFmtId="37" fontId="24" fillId="0" borderId="53" xfId="0" applyFont="1" applyFill="1" applyBorder="1"/>
    <xf numFmtId="37" fontId="2" fillId="2" borderId="99" xfId="0" applyFont="1" applyBorder="1" applyAlignment="1">
      <alignment horizontal="left"/>
    </xf>
    <xf numFmtId="37" fontId="14" fillId="2" borderId="102" xfId="0" applyNumberFormat="1" applyFont="1" applyBorder="1" applyAlignment="1" applyProtection="1">
      <alignment horizontal="right"/>
    </xf>
    <xf numFmtId="49" fontId="2" fillId="0" borderId="103" xfId="0" applyNumberFormat="1" applyFont="1" applyFill="1" applyBorder="1" applyAlignment="1" applyProtection="1">
      <alignment horizontal="center"/>
    </xf>
    <xf numFmtId="37" fontId="2" fillId="0" borderId="100" xfId="0" applyNumberFormat="1" applyFont="1" applyFill="1" applyBorder="1" applyAlignment="1" applyProtection="1">
      <alignment wrapText="1"/>
    </xf>
    <xf numFmtId="2" fontId="14" fillId="0" borderId="100" xfId="2" applyNumberFormat="1" applyFont="1" applyFill="1" applyBorder="1" applyAlignment="1" applyProtection="1"/>
    <xf numFmtId="37" fontId="24" fillId="2" borderId="99" xfId="0" applyFont="1" applyBorder="1" applyAlignment="1">
      <alignment horizontal="center" vertical="center" wrapText="1"/>
    </xf>
    <xf numFmtId="37" fontId="24" fillId="2" borderId="101" xfId="0" applyFont="1" applyBorder="1" applyAlignment="1">
      <alignment horizontal="center" vertical="center" wrapText="1"/>
    </xf>
    <xf numFmtId="167" fontId="24" fillId="0" borderId="104" xfId="0" applyNumberFormat="1" applyFont="1" applyFill="1" applyBorder="1"/>
    <xf numFmtId="37" fontId="2" fillId="0" borderId="105" xfId="0" applyFont="1" applyFill="1" applyBorder="1" applyAlignment="1">
      <alignment horizontal="left"/>
    </xf>
    <xf numFmtId="37" fontId="24" fillId="0" borderId="104" xfId="0" applyFont="1" applyFill="1" applyBorder="1"/>
    <xf numFmtId="37" fontId="2" fillId="0" borderId="105" xfId="0" applyFont="1" applyFill="1" applyBorder="1"/>
    <xf numFmtId="49" fontId="2" fillId="0" borderId="106" xfId="0" applyNumberFormat="1" applyFont="1" applyFill="1" applyBorder="1" applyAlignment="1" applyProtection="1">
      <alignment horizontal="center"/>
    </xf>
    <xf numFmtId="37" fontId="2" fillId="0" borderId="104" xfId="0" applyFont="1" applyFill="1" applyBorder="1" applyAlignment="1" applyProtection="1">
      <alignment wrapText="1"/>
    </xf>
    <xf numFmtId="2" fontId="14" fillId="0" borderId="104" xfId="2" applyNumberFormat="1" applyFont="1" applyFill="1" applyBorder="1" applyAlignment="1" applyProtection="1"/>
    <xf numFmtId="2" fontId="14" fillId="0" borderId="105" xfId="2" applyNumberFormat="1" applyFont="1" applyFill="1" applyBorder="1" applyAlignment="1" applyProtection="1"/>
    <xf numFmtId="37" fontId="25" fillId="0" borderId="104" xfId="0" applyFont="1" applyFill="1" applyBorder="1" applyAlignment="1" applyProtection="1">
      <alignment horizontal="center"/>
    </xf>
    <xf numFmtId="37" fontId="2" fillId="0" borderId="105" xfId="0" applyFont="1" applyFill="1" applyBorder="1" applyAlignment="1" applyProtection="1">
      <alignment wrapText="1"/>
    </xf>
    <xf numFmtId="49" fontId="2" fillId="0" borderId="106" xfId="0" applyNumberFormat="1" applyFont="1" applyFill="1" applyBorder="1" applyAlignment="1">
      <alignment horizontal="center"/>
    </xf>
    <xf numFmtId="49" fontId="2" fillId="0" borderId="107" xfId="0" applyNumberFormat="1" applyFont="1" applyFill="1" applyBorder="1" applyAlignment="1" applyProtection="1">
      <alignment horizontal="center"/>
    </xf>
    <xf numFmtId="37" fontId="2" fillId="0" borderId="104" xfId="0" applyNumberFormat="1" applyFont="1" applyFill="1" applyBorder="1" applyAlignment="1" applyProtection="1">
      <alignment wrapText="1"/>
    </xf>
    <xf numFmtId="49" fontId="2" fillId="0" borderId="76" xfId="0" applyNumberFormat="1" applyFont="1" applyFill="1" applyBorder="1" applyAlignment="1" applyProtection="1">
      <alignment horizontal="center"/>
    </xf>
    <xf numFmtId="37" fontId="25" fillId="0" borderId="104" xfId="0" applyNumberFormat="1" applyFont="1" applyFill="1" applyBorder="1" applyAlignment="1" applyProtection="1">
      <alignment horizontal="center"/>
    </xf>
    <xf numFmtId="37" fontId="2" fillId="0" borderId="105" xfId="0" applyNumberFormat="1" applyFont="1" applyFill="1" applyBorder="1" applyAlignment="1" applyProtection="1">
      <alignment wrapText="1"/>
    </xf>
    <xf numFmtId="37" fontId="37" fillId="2" borderId="105" xfId="0" applyFont="1" applyBorder="1" applyAlignment="1">
      <alignment horizontal="center" vertical="center"/>
    </xf>
    <xf numFmtId="167" fontId="24" fillId="0" borderId="104" xfId="0" applyNumberFormat="1" applyFont="1" applyFill="1" applyBorder="1" applyAlignment="1">
      <alignment wrapText="1"/>
    </xf>
    <xf numFmtId="37" fontId="37" fillId="2" borderId="99" xfId="0" applyFont="1" applyBorder="1" applyAlignment="1">
      <alignment horizontal="center" vertical="center"/>
    </xf>
    <xf numFmtId="0" fontId="24" fillId="2" borderId="108" xfId="0" applyNumberFormat="1" applyFont="1" applyBorder="1"/>
    <xf numFmtId="37" fontId="37" fillId="2" borderId="109" xfId="0" applyFont="1" applyBorder="1"/>
    <xf numFmtId="37" fontId="2" fillId="2" borderId="110" xfId="0" applyFont="1" applyBorder="1" applyAlignment="1">
      <alignment horizontal="center" wrapText="1"/>
    </xf>
    <xf numFmtId="37" fontId="2" fillId="2" borderId="112" xfId="0" applyFont="1" applyBorder="1" applyAlignment="1">
      <alignment horizontal="center" wrapText="1"/>
    </xf>
    <xf numFmtId="37" fontId="2" fillId="2" borderId="111" xfId="0" applyFont="1" applyBorder="1" applyAlignment="1">
      <alignment wrapText="1"/>
    </xf>
    <xf numFmtId="2" fontId="2" fillId="0" borderId="2" xfId="2" applyNumberFormat="1" applyFont="1" applyFill="1" applyBorder="1" applyAlignment="1" applyProtection="1"/>
    <xf numFmtId="37" fontId="2" fillId="0" borderId="3" xfId="0" applyNumberFormat="1" applyFont="1" applyFill="1" applyBorder="1" applyAlignment="1" applyProtection="1">
      <alignment horizontal="center"/>
    </xf>
    <xf numFmtId="37" fontId="2" fillId="0" borderId="113" xfId="0" applyNumberFormat="1" applyFont="1" applyFill="1" applyBorder="1" applyAlignment="1" applyProtection="1">
      <alignment horizontal="center"/>
    </xf>
    <xf numFmtId="44" fontId="2" fillId="0" borderId="12" xfId="4" applyFont="1" applyFill="1" applyBorder="1" applyAlignment="1">
      <alignment vertical="center"/>
    </xf>
    <xf numFmtId="37" fontId="2" fillId="2" borderId="98" xfId="0" applyFont="1" applyBorder="1" applyAlignment="1">
      <alignment horizontal="center" vertical="center" wrapText="1"/>
    </xf>
    <xf numFmtId="37" fontId="2" fillId="0" borderId="100" xfId="0" applyFont="1" applyFill="1" applyBorder="1" applyAlignment="1">
      <alignment wrapText="1"/>
    </xf>
    <xf numFmtId="37" fontId="2" fillId="0" borderId="13" xfId="0" applyNumberFormat="1" applyFont="1" applyFill="1" applyBorder="1" applyAlignment="1" applyProtection="1">
      <alignment horizontal="center"/>
    </xf>
    <xf numFmtId="37" fontId="2" fillId="2" borderId="101" xfId="0" applyFont="1" applyBorder="1" applyAlignment="1">
      <alignment horizontal="center" vertical="center" wrapText="1"/>
    </xf>
    <xf numFmtId="37" fontId="2" fillId="2" borderId="99" xfId="0" applyFont="1" applyBorder="1" applyAlignment="1">
      <alignment horizontal="center" vertical="center" wrapText="1"/>
    </xf>
    <xf numFmtId="37" fontId="2" fillId="0" borderId="104" xfId="0" applyFont="1" applyFill="1" applyBorder="1" applyAlignment="1">
      <alignment wrapText="1"/>
    </xf>
    <xf numFmtId="2" fontId="2" fillId="0" borderId="88" xfId="2" applyNumberFormat="1" applyFont="1" applyFill="1" applyBorder="1" applyAlignment="1" applyProtection="1"/>
    <xf numFmtId="37" fontId="14" fillId="0" borderId="19" xfId="0" applyNumberFormat="1" applyFont="1" applyFill="1" applyBorder="1" applyAlignment="1" applyProtection="1">
      <alignment wrapText="1"/>
    </xf>
    <xf numFmtId="2" fontId="2" fillId="0" borderId="19" xfId="2" applyNumberFormat="1" applyFont="1" applyFill="1" applyBorder="1" applyAlignment="1" applyProtection="1"/>
    <xf numFmtId="37" fontId="2" fillId="0" borderId="27" xfId="0" applyNumberFormat="1" applyFont="1" applyFill="1" applyBorder="1" applyAlignment="1" applyProtection="1">
      <alignment horizontal="center"/>
    </xf>
    <xf numFmtId="49" fontId="2" fillId="18" borderId="12" xfId="0" applyNumberFormat="1" applyFont="1" applyFill="1" applyBorder="1" applyAlignment="1" applyProtection="1">
      <alignment horizontal="center"/>
    </xf>
    <xf numFmtId="37" fontId="2" fillId="18" borderId="2" xfId="0" applyNumberFormat="1" applyFont="1" applyFill="1" applyBorder="1" applyAlignment="1" applyProtection="1">
      <alignment wrapText="1"/>
    </xf>
    <xf numFmtId="2" fontId="24" fillId="18" borderId="2" xfId="2" applyNumberFormat="1" applyFont="1" applyFill="1" applyBorder="1" applyAlignment="1" applyProtection="1"/>
    <xf numFmtId="37" fontId="14" fillId="18" borderId="30" xfId="0" applyFont="1" applyFill="1" applyBorder="1" applyAlignment="1" applyProtection="1">
      <alignment horizontal="center"/>
    </xf>
    <xf numFmtId="49" fontId="2" fillId="18" borderId="2" xfId="0" applyNumberFormat="1" applyFont="1" applyFill="1" applyBorder="1" applyAlignment="1" applyProtection="1">
      <alignment wrapText="1"/>
    </xf>
    <xf numFmtId="44" fontId="24" fillId="18" borderId="12" xfId="4" applyFont="1" applyFill="1" applyBorder="1" applyAlignment="1">
      <alignment vertical="center"/>
    </xf>
    <xf numFmtId="2" fontId="2" fillId="0" borderId="10" xfId="0" applyNumberFormat="1" applyFont="1" applyFill="1" applyBorder="1" applyAlignment="1">
      <alignment vertical="center"/>
    </xf>
    <xf numFmtId="2" fontId="2" fillId="0" borderId="109" xfId="0" applyNumberFormat="1" applyFont="1" applyFill="1" applyBorder="1" applyAlignment="1">
      <alignment vertical="center"/>
    </xf>
    <xf numFmtId="2" fontId="2" fillId="0" borderId="22" xfId="0" applyNumberFormat="1" applyFont="1" applyFill="1" applyBorder="1" applyAlignment="1">
      <alignment vertical="center"/>
    </xf>
    <xf numFmtId="39" fontId="0" fillId="2" borderId="114" xfId="0" applyNumberFormat="1" applyBorder="1" applyProtection="1"/>
    <xf numFmtId="39" fontId="0" fillId="2" borderId="115" xfId="0" applyNumberFormat="1" applyBorder="1" applyProtection="1"/>
    <xf numFmtId="39" fontId="0" fillId="2" borderId="116" xfId="0" applyNumberFormat="1" applyBorder="1" applyProtection="1"/>
    <xf numFmtId="37" fontId="2" fillId="2" borderId="98" xfId="0" applyFont="1" applyBorder="1"/>
    <xf numFmtId="37" fontId="38" fillId="2" borderId="0" xfId="0" applyFont="1"/>
    <xf numFmtId="2" fontId="2" fillId="17" borderId="109" xfId="0" applyNumberFormat="1" applyFont="1" applyFill="1" applyBorder="1" applyAlignment="1" applyProtection="1">
      <alignment horizontal="right"/>
      <protection locked="0"/>
    </xf>
    <xf numFmtId="2" fontId="0" fillId="2" borderId="32" xfId="0" applyNumberFormat="1" applyBorder="1" applyProtection="1"/>
    <xf numFmtId="2" fontId="0" fillId="2" borderId="117" xfId="0" applyNumberFormat="1" applyBorder="1" applyProtection="1"/>
    <xf numFmtId="2" fontId="0" fillId="2" borderId="118" xfId="0" applyNumberFormat="1" applyBorder="1" applyProtection="1"/>
    <xf numFmtId="2" fontId="0" fillId="2" borderId="113" xfId="0" applyNumberFormat="1" applyBorder="1" applyProtection="1"/>
    <xf numFmtId="37" fontId="2" fillId="0" borderId="2" xfId="0" applyFont="1" applyFill="1" applyBorder="1" applyAlignment="1">
      <alignment horizontal="left"/>
    </xf>
    <xf numFmtId="0" fontId="3" fillId="2" borderId="7" xfId="0" applyNumberFormat="1" applyFont="1" applyBorder="1" applyAlignment="1" applyProtection="1">
      <alignment horizontal="center"/>
    </xf>
    <xf numFmtId="0" fontId="3" fillId="2" borderId="38" xfId="0" applyNumberFormat="1" applyFont="1" applyBorder="1" applyAlignment="1" applyProtection="1">
      <alignment horizontal="center"/>
    </xf>
    <xf numFmtId="0" fontId="3" fillId="2" borderId="39" xfId="0" applyNumberFormat="1" applyFont="1" applyBorder="1" applyAlignment="1" applyProtection="1">
      <alignment horizontal="center"/>
    </xf>
    <xf numFmtId="37" fontId="2" fillId="7" borderId="2" xfId="0" applyNumberFormat="1" applyFont="1" applyFill="1" applyBorder="1" applyAlignment="1" applyProtection="1">
      <alignment horizontal="center"/>
      <protection locked="0"/>
    </xf>
    <xf numFmtId="0" fontId="2" fillId="7" borderId="2" xfId="0" applyNumberFormat="1" applyFont="1" applyFill="1" applyBorder="1" applyAlignment="1" applyProtection="1">
      <alignment horizontal="center"/>
      <protection locked="0"/>
    </xf>
    <xf numFmtId="0" fontId="2" fillId="7" borderId="2" xfId="0" quotePrefix="1" applyNumberFormat="1" applyFont="1" applyFill="1" applyBorder="1" applyAlignment="1" applyProtection="1">
      <alignment horizontal="center"/>
      <protection locked="0"/>
    </xf>
    <xf numFmtId="37" fontId="2" fillId="2" borderId="2" xfId="0" applyFont="1" applyBorder="1" applyAlignment="1">
      <alignment horizontal="left"/>
    </xf>
    <xf numFmtId="37" fontId="24" fillId="0" borderId="109" xfId="0" applyFont="1" applyFill="1" applyBorder="1" applyAlignment="1">
      <alignment horizontal="left"/>
    </xf>
    <xf numFmtId="37" fontId="2" fillId="2" borderId="98" xfId="0" applyFont="1" applyBorder="1" applyAlignment="1">
      <alignment horizontal="left"/>
    </xf>
    <xf numFmtId="37" fontId="35" fillId="0" borderId="0" xfId="0" applyNumberFormat="1" applyFont="1" applyFill="1" applyAlignment="1" applyProtection="1">
      <alignment wrapText="1"/>
    </xf>
    <xf numFmtId="37" fontId="16" fillId="0" borderId="7" xfId="0" applyNumberFormat="1" applyFont="1" applyFill="1" applyBorder="1" applyAlignment="1" applyProtection="1">
      <alignment horizontal="center" wrapText="1"/>
    </xf>
    <xf numFmtId="37" fontId="16" fillId="0" borderId="38" xfId="0" applyNumberFormat="1" applyFont="1" applyFill="1" applyBorder="1" applyAlignment="1" applyProtection="1">
      <alignment horizontal="center" wrapText="1"/>
    </xf>
    <xf numFmtId="37" fontId="16" fillId="0" borderId="39" xfId="0" applyNumberFormat="1" applyFont="1" applyFill="1" applyBorder="1" applyAlignment="1" applyProtection="1">
      <alignment horizontal="center" wrapText="1"/>
    </xf>
    <xf numFmtId="0" fontId="7" fillId="2" borderId="7" xfId="0" applyNumberFormat="1" applyFont="1" applyBorder="1" applyAlignment="1">
      <alignment wrapText="1"/>
    </xf>
    <xf numFmtId="0" fontId="7" fillId="2" borderId="38" xfId="0" applyNumberFormat="1" applyFont="1" applyBorder="1" applyAlignment="1">
      <alignment wrapText="1"/>
    </xf>
    <xf numFmtId="0" fontId="7" fillId="2" borderId="39" xfId="0" applyNumberFormat="1" applyFont="1" applyBorder="1" applyAlignment="1">
      <alignment wrapText="1"/>
    </xf>
    <xf numFmtId="0" fontId="28" fillId="2" borderId="73" xfId="0" applyNumberFormat="1" applyFont="1" applyBorder="1" applyAlignment="1">
      <alignment wrapText="1"/>
    </xf>
    <xf numFmtId="0" fontId="28" fillId="2" borderId="0" xfId="0" applyNumberFormat="1" applyFont="1" applyBorder="1" applyAlignment="1">
      <alignment wrapText="1"/>
    </xf>
    <xf numFmtId="0" fontId="28" fillId="2" borderId="31" xfId="0" applyNumberFormat="1" applyFont="1" applyBorder="1" applyAlignment="1">
      <alignment wrapText="1"/>
    </xf>
    <xf numFmtId="0" fontId="2" fillId="2" borderId="76" xfId="0" applyNumberFormat="1" applyFont="1" applyBorder="1" applyAlignment="1">
      <alignment wrapText="1"/>
    </xf>
    <xf numFmtId="0" fontId="2" fillId="2" borderId="40" xfId="0" applyNumberFormat="1" applyFont="1" applyBorder="1" applyAlignment="1">
      <alignment wrapText="1"/>
    </xf>
    <xf numFmtId="0" fontId="2" fillId="2" borderId="1" xfId="0" applyNumberFormat="1" applyFont="1" applyBorder="1" applyAlignment="1">
      <alignment wrapText="1"/>
    </xf>
    <xf numFmtId="0" fontId="2" fillId="5" borderId="76" xfId="0" applyNumberFormat="1" applyFont="1" applyFill="1" applyBorder="1" applyProtection="1"/>
    <xf numFmtId="0" fontId="2" fillId="5" borderId="40" xfId="0" applyNumberFormat="1" applyFont="1" applyFill="1" applyBorder="1" applyProtection="1"/>
    <xf numFmtId="0" fontId="2" fillId="5" borderId="1" xfId="0" applyNumberFormat="1" applyFont="1" applyFill="1" applyBorder="1" applyProtection="1"/>
    <xf numFmtId="0" fontId="28" fillId="2" borderId="76" xfId="0" applyNumberFormat="1" applyFont="1" applyBorder="1" applyAlignment="1">
      <alignment wrapText="1"/>
    </xf>
    <xf numFmtId="0" fontId="28" fillId="2" borderId="40" xfId="0" applyNumberFormat="1" applyFont="1" applyBorder="1" applyAlignment="1">
      <alignment wrapText="1"/>
    </xf>
    <xf numFmtId="0" fontId="28" fillId="2" borderId="77" xfId="0" applyNumberFormat="1" applyFont="1" applyBorder="1" applyAlignment="1">
      <alignment wrapText="1"/>
    </xf>
    <xf numFmtId="0" fontId="2" fillId="5" borderId="78" xfId="0" applyNumberFormat="1" applyFont="1" applyFill="1" applyBorder="1" applyProtection="1"/>
    <xf numFmtId="0" fontId="2" fillId="5" borderId="79" xfId="0" applyNumberFormat="1" applyFont="1" applyFill="1" applyBorder="1" applyProtection="1"/>
    <xf numFmtId="0" fontId="2" fillId="2" borderId="7" xfId="0" applyNumberFormat="1" applyFont="1" applyBorder="1" applyAlignment="1">
      <alignment wrapText="1"/>
    </xf>
    <xf numFmtId="0" fontId="2" fillId="2" borderId="38" xfId="0" applyNumberFormat="1" applyFont="1" applyBorder="1" applyAlignment="1">
      <alignment wrapText="1"/>
    </xf>
    <xf numFmtId="0" fontId="2" fillId="2" borderId="39" xfId="0" applyNumberFormat="1" applyFont="1" applyBorder="1" applyAlignment="1">
      <alignment wrapText="1"/>
    </xf>
    <xf numFmtId="0" fontId="7" fillId="2" borderId="7" xfId="0" applyNumberFormat="1" applyFont="1" applyBorder="1" applyAlignment="1">
      <alignment horizontal="center" wrapText="1"/>
    </xf>
    <xf numFmtId="0" fontId="7" fillId="2" borderId="38" xfId="0" applyNumberFormat="1" applyFont="1" applyBorder="1" applyAlignment="1">
      <alignment horizontal="center" wrapText="1"/>
    </xf>
    <xf numFmtId="0" fontId="7" fillId="2" borderId="39" xfId="0" applyNumberFormat="1" applyFont="1" applyBorder="1" applyAlignment="1">
      <alignment horizontal="center" wrapText="1"/>
    </xf>
    <xf numFmtId="0" fontId="3" fillId="2" borderId="7" xfId="0" applyNumberFormat="1" applyFont="1" applyBorder="1" applyAlignment="1">
      <alignment horizontal="center" wrapText="1"/>
    </xf>
    <xf numFmtId="0" fontId="3" fillId="2" borderId="38" xfId="0" applyNumberFormat="1" applyFont="1" applyBorder="1" applyAlignment="1">
      <alignment horizontal="center" wrapText="1"/>
    </xf>
    <xf numFmtId="0" fontId="3" fillId="2" borderId="39" xfId="0" applyNumberFormat="1" applyFont="1" applyBorder="1" applyAlignment="1">
      <alignment horizontal="center" wrapText="1"/>
    </xf>
    <xf numFmtId="37" fontId="31" fillId="2" borderId="7" xfId="0" applyNumberFormat="1" applyFont="1" applyBorder="1" applyAlignment="1" applyProtection="1">
      <alignment horizontal="center"/>
    </xf>
    <xf numFmtId="37" fontId="31" fillId="2" borderId="38" xfId="0" applyNumberFormat="1" applyFont="1" applyBorder="1" applyAlignment="1" applyProtection="1">
      <alignment horizontal="center"/>
    </xf>
    <xf numFmtId="37" fontId="31" fillId="2" borderId="82" xfId="0" applyNumberFormat="1" applyFont="1" applyBorder="1" applyAlignment="1" applyProtection="1">
      <alignment horizontal="center"/>
    </xf>
    <xf numFmtId="37" fontId="31" fillId="14" borderId="7" xfId="0" applyNumberFormat="1" applyFont="1" applyFill="1" applyBorder="1" applyAlignment="1" applyProtection="1">
      <alignment horizontal="center" vertical="center"/>
    </xf>
    <xf numFmtId="37" fontId="31" fillId="14" borderId="38" xfId="0" applyNumberFormat="1" applyFont="1" applyFill="1" applyBorder="1" applyAlignment="1" applyProtection="1">
      <alignment horizontal="center" vertical="center"/>
    </xf>
    <xf numFmtId="37" fontId="31" fillId="14" borderId="39" xfId="0" applyNumberFormat="1" applyFont="1" applyFill="1" applyBorder="1" applyAlignment="1" applyProtection="1">
      <alignment horizontal="center" vertical="center"/>
    </xf>
    <xf numFmtId="2" fontId="2" fillId="2" borderId="83" xfId="0" applyNumberFormat="1" applyFont="1" applyBorder="1" applyAlignment="1">
      <alignment wrapText="1"/>
    </xf>
    <xf numFmtId="2" fontId="2" fillId="2" borderId="26" xfId="0" applyNumberFormat="1" applyFont="1" applyBorder="1" applyAlignment="1">
      <alignment wrapText="1"/>
    </xf>
    <xf numFmtId="37" fontId="2" fillId="2" borderId="76" xfId="0" applyNumberFormat="1" applyFont="1" applyBorder="1" applyAlignment="1">
      <alignment horizontal="right" wrapText="1"/>
    </xf>
    <xf numFmtId="37" fontId="2" fillId="2" borderId="1" xfId="0" applyNumberFormat="1" applyFont="1" applyBorder="1" applyAlignment="1">
      <alignment horizontal="right" wrapText="1"/>
    </xf>
    <xf numFmtId="37" fontId="2" fillId="2" borderId="78" xfId="0" applyNumberFormat="1" applyFont="1" applyBorder="1" applyAlignment="1">
      <alignment horizontal="right" wrapText="1"/>
    </xf>
    <xf numFmtId="37" fontId="2" fillId="2" borderId="15" xfId="0" applyNumberFormat="1" applyFont="1" applyBorder="1" applyAlignment="1">
      <alignment horizontal="right" wrapText="1"/>
    </xf>
    <xf numFmtId="37" fontId="31" fillId="2" borderId="83" xfId="0" applyNumberFormat="1" applyFont="1" applyBorder="1" applyAlignment="1" applyProtection="1">
      <alignment horizontal="center" vertical="center" wrapText="1"/>
    </xf>
    <xf numFmtId="37" fontId="31" fillId="2" borderId="84" xfId="0" applyNumberFormat="1" applyFont="1" applyBorder="1" applyAlignment="1" applyProtection="1">
      <alignment horizontal="center" vertical="center" wrapText="1"/>
    </xf>
    <xf numFmtId="37" fontId="31" fillId="2" borderId="26" xfId="0" applyNumberFormat="1" applyFont="1" applyBorder="1" applyAlignment="1" applyProtection="1">
      <alignment horizontal="center" vertical="center" wrapText="1"/>
    </xf>
    <xf numFmtId="37" fontId="31" fillId="2" borderId="76" xfId="0" applyNumberFormat="1" applyFont="1" applyBorder="1" applyAlignment="1" applyProtection="1">
      <alignment horizontal="center" vertical="center" wrapText="1"/>
    </xf>
    <xf numFmtId="37" fontId="31" fillId="2" borderId="40" xfId="0" applyNumberFormat="1" applyFont="1" applyBorder="1" applyAlignment="1" applyProtection="1">
      <alignment horizontal="center" vertical="center" wrapText="1"/>
    </xf>
    <xf numFmtId="37" fontId="31" fillId="2" borderId="1" xfId="0" applyNumberFormat="1" applyFont="1" applyBorder="1" applyAlignment="1" applyProtection="1">
      <alignment horizontal="center" vertical="center" wrapText="1"/>
    </xf>
    <xf numFmtId="37" fontId="32" fillId="2" borderId="76" xfId="0" applyNumberFormat="1" applyFont="1" applyBorder="1" applyProtection="1"/>
    <xf numFmtId="37" fontId="32" fillId="2" borderId="40" xfId="0" applyNumberFormat="1" applyFont="1" applyBorder="1" applyProtection="1"/>
    <xf numFmtId="37" fontId="32" fillId="2" borderId="1" xfId="0" applyNumberFormat="1" applyFont="1" applyBorder="1" applyProtection="1"/>
    <xf numFmtId="37" fontId="32" fillId="2" borderId="85" xfId="0" applyNumberFormat="1" applyFont="1" applyBorder="1" applyProtection="1"/>
    <xf numFmtId="37" fontId="32" fillId="2" borderId="35" xfId="0" applyNumberFormat="1" applyFont="1" applyBorder="1" applyProtection="1"/>
    <xf numFmtId="37" fontId="32" fillId="2" borderId="4" xfId="0" applyNumberFormat="1" applyFont="1" applyBorder="1" applyProtection="1"/>
    <xf numFmtId="37" fontId="32" fillId="11" borderId="73" xfId="0" applyNumberFormat="1" applyFont="1" applyFill="1" applyBorder="1" applyProtection="1"/>
    <xf numFmtId="37" fontId="32" fillId="11" borderId="0" xfId="0" applyNumberFormat="1" applyFont="1" applyFill="1" applyBorder="1" applyProtection="1"/>
    <xf numFmtId="37" fontId="32" fillId="11" borderId="36" xfId="0" applyNumberFormat="1" applyFont="1" applyFill="1" applyBorder="1" applyProtection="1"/>
    <xf numFmtId="37" fontId="31" fillId="2" borderId="83" xfId="0" applyNumberFormat="1" applyFont="1" applyBorder="1" applyAlignment="1" applyProtection="1"/>
    <xf numFmtId="37" fontId="31" fillId="2" borderId="84" xfId="0" applyNumberFormat="1" applyFont="1" applyBorder="1" applyAlignment="1" applyProtection="1"/>
    <xf numFmtId="37" fontId="31" fillId="2" borderId="26" xfId="0" applyNumberFormat="1" applyFont="1" applyBorder="1" applyAlignment="1" applyProtection="1"/>
    <xf numFmtId="0" fontId="32" fillId="2" borderId="76" xfId="0" applyNumberFormat="1" applyFont="1" applyBorder="1" applyProtection="1"/>
    <xf numFmtId="0" fontId="32" fillId="2" borderId="40" xfId="0" applyNumberFormat="1" applyFont="1" applyBorder="1" applyProtection="1"/>
    <xf numFmtId="0" fontId="32" fillId="2" borderId="1" xfId="0" applyNumberFormat="1" applyFont="1" applyBorder="1" applyProtection="1"/>
    <xf numFmtId="0" fontId="32" fillId="2" borderId="78" xfId="0" applyNumberFormat="1" applyFont="1" applyBorder="1" applyProtection="1"/>
    <xf numFmtId="0" fontId="32" fillId="2" borderId="79" xfId="0" applyNumberFormat="1" applyFont="1" applyBorder="1" applyProtection="1"/>
    <xf numFmtId="0" fontId="32" fillId="2" borderId="86" xfId="0" applyNumberFormat="1" applyFont="1" applyBorder="1" applyProtection="1"/>
    <xf numFmtId="37" fontId="32" fillId="2" borderId="76" xfId="0" applyNumberFormat="1" applyFont="1" applyBorder="1" applyAlignment="1" applyProtection="1"/>
    <xf numFmtId="37" fontId="32" fillId="2" borderId="40" xfId="0" applyNumberFormat="1" applyFont="1" applyBorder="1" applyAlignment="1" applyProtection="1"/>
    <xf numFmtId="37" fontId="32" fillId="2" borderId="1" xfId="0" applyNumberFormat="1" applyFont="1" applyBorder="1" applyAlignment="1" applyProtection="1"/>
    <xf numFmtId="37" fontId="16" fillId="2" borderId="87" xfId="0" applyNumberFormat="1" applyFont="1" applyBorder="1" applyAlignment="1" applyProtection="1">
      <alignment horizontal="center" wrapText="1"/>
    </xf>
    <xf numFmtId="37" fontId="16" fillId="2" borderId="15" xfId="0" applyNumberFormat="1" applyFont="1" applyBorder="1" applyAlignment="1" applyProtection="1">
      <alignment horizontal="center" wrapText="1"/>
    </xf>
    <xf numFmtId="37" fontId="2" fillId="2" borderId="18" xfId="0" applyNumberFormat="1" applyFont="1" applyBorder="1" applyAlignment="1" applyProtection="1">
      <alignment horizontal="center" wrapText="1"/>
    </xf>
    <xf numFmtId="37" fontId="2" fillId="2" borderId="40" xfId="0" applyNumberFormat="1" applyFont="1" applyBorder="1" applyAlignment="1" applyProtection="1">
      <alignment horizontal="center" wrapText="1"/>
    </xf>
    <xf numFmtId="37" fontId="22" fillId="2" borderId="0" xfId="0" applyNumberFormat="1" applyFont="1" applyAlignment="1" applyProtection="1">
      <alignment wrapText="1"/>
    </xf>
    <xf numFmtId="37" fontId="22" fillId="2" borderId="0" xfId="0" applyNumberFormat="1" applyFont="1" applyBorder="1" applyAlignment="1" applyProtection="1">
      <alignment wrapText="1"/>
    </xf>
    <xf numFmtId="37" fontId="22" fillId="2" borderId="0" xfId="0" applyNumberFormat="1" applyFont="1" applyAlignment="1" applyProtection="1">
      <alignment horizontal="left" wrapText="1"/>
    </xf>
  </cellXfs>
  <cellStyles count="6">
    <cellStyle name="Comma" xfId="2" builtinId="3"/>
    <cellStyle name="Currency" xfId="4" builtinId="4"/>
    <cellStyle name="Normal" xfId="0" builtinId="0"/>
    <cellStyle name="Normal 2" xfId="1" xr:uid="{00000000-0005-0000-0000-000003000000}"/>
    <cellStyle name="Normal 3" xfId="3" xr:uid="{00000000-0005-0000-0000-000004000000}"/>
    <cellStyle name="Normal 4" xfId="5" xr:uid="{00000000-0005-0000-0000-000005000000}"/>
  </cellStyles>
  <dxfs count="2">
    <dxf>
      <font>
        <condense val="0"/>
        <extend val="0"/>
        <color indexed="51"/>
      </font>
      <fill>
        <patternFill>
          <bgColor indexed="16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T103"/>
  <sheetViews>
    <sheetView showGridLines="0" tabSelected="1" topLeftCell="A42" zoomScale="80" zoomScaleNormal="80" workbookViewId="0">
      <selection activeCell="B68" sqref="B68:B74"/>
    </sheetView>
  </sheetViews>
  <sheetFormatPr defaultRowHeight="13.2" x14ac:dyDescent="0.25"/>
  <cols>
    <col min="1" max="1" width="41.5546875" customWidth="1"/>
    <col min="2" max="2" width="52.88671875" customWidth="1"/>
    <col min="3" max="3" width="15" customWidth="1"/>
    <col min="4" max="7" width="14.109375" bestFit="1" customWidth="1"/>
    <col min="8" max="8" width="14.21875" bestFit="1" customWidth="1"/>
    <col min="9" max="9" width="14.109375" bestFit="1" customWidth="1"/>
    <col min="10" max="10" width="23.21875" customWidth="1"/>
    <col min="11" max="19" width="15" customWidth="1"/>
    <col min="20" max="20" width="11.77734375" customWidth="1"/>
  </cols>
  <sheetData>
    <row r="1" spans="1:20" ht="15.6" x14ac:dyDescent="0.3">
      <c r="A1" s="16" t="s">
        <v>5</v>
      </c>
      <c r="B1" s="519"/>
      <c r="C1" s="519"/>
      <c r="D1" s="13"/>
      <c r="E1" s="13"/>
      <c r="F1" s="13"/>
      <c r="G1" s="13"/>
      <c r="H1" s="13"/>
      <c r="I1" s="13"/>
      <c r="J1" s="17" t="s">
        <v>24</v>
      </c>
      <c r="K1" s="18"/>
      <c r="L1" s="18"/>
      <c r="M1" s="18"/>
      <c r="N1" s="18"/>
      <c r="O1" s="18"/>
      <c r="P1" s="18"/>
      <c r="Q1" s="18"/>
      <c r="R1" s="18"/>
      <c r="S1" s="18"/>
      <c r="T1" s="2"/>
    </row>
    <row r="2" spans="1:20" ht="15.6" x14ac:dyDescent="0.3">
      <c r="A2" s="16" t="s">
        <v>127</v>
      </c>
      <c r="B2" s="519"/>
      <c r="C2" s="519"/>
      <c r="D2" s="13"/>
      <c r="E2" s="13"/>
      <c r="F2" s="13"/>
      <c r="G2" s="13"/>
      <c r="H2" s="13"/>
      <c r="I2" s="13"/>
      <c r="J2" s="17" t="s">
        <v>2</v>
      </c>
      <c r="K2" s="18"/>
      <c r="L2" s="18"/>
      <c r="M2" s="18"/>
      <c r="N2" s="18"/>
      <c r="O2" s="18"/>
      <c r="P2" s="18"/>
      <c r="Q2" s="18"/>
      <c r="R2" s="18"/>
      <c r="S2" s="18"/>
      <c r="T2" s="2"/>
    </row>
    <row r="3" spans="1:20" ht="15.6" x14ac:dyDescent="0.3">
      <c r="A3" s="16" t="s">
        <v>128</v>
      </c>
      <c r="B3" s="520"/>
      <c r="C3" s="520"/>
      <c r="D3" s="13"/>
      <c r="E3" s="13"/>
      <c r="F3" s="13"/>
      <c r="G3" s="13"/>
      <c r="H3" s="13"/>
      <c r="I3" s="13"/>
      <c r="J3" s="17" t="s">
        <v>3</v>
      </c>
      <c r="K3" s="18"/>
      <c r="L3" s="18"/>
      <c r="M3" s="18"/>
      <c r="N3" s="18"/>
      <c r="O3" s="18"/>
      <c r="P3" s="18"/>
      <c r="Q3" s="18"/>
      <c r="R3" s="18"/>
      <c r="S3" s="18"/>
      <c r="T3" s="2"/>
    </row>
    <row r="4" spans="1:20" ht="15.6" x14ac:dyDescent="0.3">
      <c r="A4" s="16" t="s">
        <v>129</v>
      </c>
      <c r="B4" s="521"/>
      <c r="C4" s="520"/>
      <c r="D4" s="13"/>
      <c r="E4" s="13"/>
      <c r="F4" s="13"/>
      <c r="G4" s="13"/>
      <c r="H4" s="13"/>
      <c r="I4" s="13"/>
      <c r="J4" s="17" t="s">
        <v>1</v>
      </c>
      <c r="K4" s="18"/>
      <c r="L4" s="18"/>
      <c r="M4" s="18"/>
      <c r="N4" s="18"/>
      <c r="O4" s="18"/>
      <c r="P4" s="18"/>
      <c r="Q4" s="18"/>
      <c r="R4" s="18"/>
      <c r="S4" s="18"/>
      <c r="T4" s="2"/>
    </row>
    <row r="5" spans="1:20" ht="15.6" x14ac:dyDescent="0.3">
      <c r="A5" s="19" t="s">
        <v>70</v>
      </c>
      <c r="B5" s="519"/>
      <c r="C5" s="519"/>
      <c r="D5" s="20"/>
      <c r="E5" s="13"/>
      <c r="F5" s="13"/>
      <c r="G5" s="13"/>
      <c r="H5" s="13"/>
      <c r="I5" s="13"/>
      <c r="J5" s="17" t="s">
        <v>4</v>
      </c>
      <c r="K5" s="18"/>
      <c r="L5" s="18"/>
      <c r="M5" s="18"/>
      <c r="N5" s="18"/>
      <c r="O5" s="18"/>
      <c r="P5" s="18"/>
      <c r="Q5" s="18"/>
      <c r="R5" s="18"/>
      <c r="S5" s="18"/>
      <c r="T5" s="2"/>
    </row>
    <row r="6" spans="1:20" ht="15.6" x14ac:dyDescent="0.3">
      <c r="A6" s="13"/>
      <c r="B6" s="18"/>
      <c r="C6" s="18"/>
      <c r="D6" s="13"/>
      <c r="E6" s="13"/>
      <c r="F6" s="13"/>
      <c r="G6" s="13"/>
      <c r="H6" s="13"/>
      <c r="I6" s="13"/>
      <c r="J6" s="17" t="s">
        <v>52</v>
      </c>
      <c r="K6" s="18"/>
      <c r="L6" s="18"/>
      <c r="M6" s="18"/>
      <c r="N6" s="18"/>
      <c r="O6" s="18"/>
      <c r="P6" s="18"/>
      <c r="Q6" s="18"/>
      <c r="R6" s="18"/>
      <c r="S6" s="18"/>
      <c r="T6" s="2"/>
    </row>
    <row r="7" spans="1:20" s="1" customFormat="1" ht="16.2" thickBot="1" x14ac:dyDescent="0.35">
      <c r="A7" s="21"/>
      <c r="B7" s="58"/>
      <c r="C7" s="59"/>
      <c r="D7" s="59"/>
      <c r="E7" s="66"/>
      <c r="F7" s="66"/>
      <c r="G7" s="66"/>
      <c r="H7" s="66"/>
      <c r="I7" s="66"/>
      <c r="J7" s="440" t="s">
        <v>574</v>
      </c>
      <c r="K7" s="66"/>
      <c r="M7" s="22"/>
      <c r="N7" s="59"/>
      <c r="O7" s="59"/>
      <c r="P7" s="59"/>
      <c r="Q7" s="59"/>
      <c r="R7" s="21"/>
      <c r="S7" s="21"/>
      <c r="T7" s="4"/>
    </row>
    <row r="8" spans="1:20" ht="16.2" thickBot="1" x14ac:dyDescent="0.35">
      <c r="A8" s="23"/>
      <c r="B8" s="23"/>
      <c r="C8" s="516" t="s">
        <v>30</v>
      </c>
      <c r="D8" s="517"/>
      <c r="E8" s="517"/>
      <c r="F8" s="517"/>
      <c r="G8" s="517"/>
      <c r="H8" s="517"/>
      <c r="I8" s="518"/>
      <c r="J8" s="24"/>
      <c r="K8" s="516" t="s">
        <v>33</v>
      </c>
      <c r="L8" s="517"/>
      <c r="M8" s="517"/>
      <c r="N8" s="517"/>
      <c r="O8" s="517"/>
      <c r="P8" s="517"/>
      <c r="Q8" s="517"/>
      <c r="R8" s="518"/>
      <c r="S8" s="23"/>
      <c r="T8" s="3"/>
    </row>
    <row r="9" spans="1:20" ht="53.55" customHeight="1" thickBot="1" x14ac:dyDescent="0.35">
      <c r="A9" s="112" t="s">
        <v>25</v>
      </c>
      <c r="B9" s="112"/>
      <c r="C9" s="82" t="s">
        <v>29</v>
      </c>
      <c r="D9" s="81" t="s">
        <v>27</v>
      </c>
      <c r="E9" s="81" t="s">
        <v>87</v>
      </c>
      <c r="F9" s="81" t="s">
        <v>245</v>
      </c>
      <c r="G9" s="81" t="s">
        <v>242</v>
      </c>
      <c r="H9" s="81" t="s">
        <v>237</v>
      </c>
      <c r="I9" s="83" t="s">
        <v>238</v>
      </c>
      <c r="J9" s="25" t="s">
        <v>68</v>
      </c>
      <c r="K9" s="11" t="s">
        <v>88</v>
      </c>
      <c r="L9" s="12" t="s">
        <v>27</v>
      </c>
      <c r="M9" s="81" t="s">
        <v>89</v>
      </c>
      <c r="N9" s="81" t="s">
        <v>245</v>
      </c>
      <c r="O9" s="81" t="s">
        <v>242</v>
      </c>
      <c r="P9" s="81" t="s">
        <v>237</v>
      </c>
      <c r="Q9" s="81" t="s">
        <v>238</v>
      </c>
      <c r="R9" s="111" t="s">
        <v>0</v>
      </c>
      <c r="S9" s="23"/>
      <c r="T9" s="3"/>
    </row>
    <row r="10" spans="1:20" x14ac:dyDescent="0.25">
      <c r="A10" s="522" t="s">
        <v>358</v>
      </c>
      <c r="B10" s="522"/>
      <c r="C10" s="441"/>
      <c r="D10" s="441"/>
      <c r="E10" s="441"/>
      <c r="F10" s="441"/>
      <c r="G10" s="441"/>
      <c r="H10" s="441"/>
      <c r="I10" s="441"/>
      <c r="J10" s="144" t="s">
        <v>153</v>
      </c>
      <c r="K10" s="26">
        <f t="shared" ref="K10:K50" si="0">SUM($D$68*C10)</f>
        <v>0</v>
      </c>
      <c r="L10" s="26">
        <f t="shared" ref="L10:L50" si="1">SUM($D$69*D10)</f>
        <v>0</v>
      </c>
      <c r="M10" s="26">
        <f t="shared" ref="M10:M50" si="2">SUM($D$70*E10)</f>
        <v>0</v>
      </c>
      <c r="N10" s="26">
        <f t="shared" ref="N10:N50" si="3">SUM($D$71*F10)</f>
        <v>0</v>
      </c>
      <c r="O10" s="26">
        <f t="shared" ref="O10:O50" si="4">SUM($D$72*G10)</f>
        <v>0</v>
      </c>
      <c r="P10" s="26">
        <f t="shared" ref="P10:P50" si="5">SUM($D$73*H10)</f>
        <v>0</v>
      </c>
      <c r="Q10" s="26">
        <f t="shared" ref="Q10:Q50" si="6">SUM($D$74*I10)</f>
        <v>0</v>
      </c>
      <c r="R10" s="27">
        <f>SUM(K10:Q10)</f>
        <v>0</v>
      </c>
      <c r="S10" s="23"/>
      <c r="T10" s="3"/>
    </row>
    <row r="11" spans="1:20" x14ac:dyDescent="0.25">
      <c r="A11" s="522" t="s">
        <v>96</v>
      </c>
      <c r="B11" s="522"/>
      <c r="C11" s="441"/>
      <c r="D11" s="441"/>
      <c r="E11" s="441"/>
      <c r="F11" s="441"/>
      <c r="G11" s="441"/>
      <c r="H11" s="441"/>
      <c r="I11" s="441"/>
      <c r="J11" s="144" t="s">
        <v>514</v>
      </c>
      <c r="K11" s="26">
        <f t="shared" si="0"/>
        <v>0</v>
      </c>
      <c r="L11" s="26">
        <f t="shared" si="1"/>
        <v>0</v>
      </c>
      <c r="M11" s="26">
        <f t="shared" si="2"/>
        <v>0</v>
      </c>
      <c r="N11" s="26">
        <f t="shared" si="3"/>
        <v>0</v>
      </c>
      <c r="O11" s="26">
        <f t="shared" si="4"/>
        <v>0</v>
      </c>
      <c r="P11" s="26">
        <f t="shared" si="5"/>
        <v>0</v>
      </c>
      <c r="Q11" s="26">
        <f t="shared" si="6"/>
        <v>0</v>
      </c>
      <c r="R11" s="27">
        <f t="shared" ref="R11:R49" si="7">SUM(K11:Q11)</f>
        <v>0</v>
      </c>
      <c r="S11" s="23"/>
      <c r="T11" s="3"/>
    </row>
    <row r="12" spans="1:20" x14ac:dyDescent="0.25">
      <c r="A12" s="522" t="s">
        <v>58</v>
      </c>
      <c r="B12" s="522"/>
      <c r="C12" s="441"/>
      <c r="D12" s="441"/>
      <c r="E12" s="441"/>
      <c r="F12" s="441"/>
      <c r="G12" s="441"/>
      <c r="H12" s="441"/>
      <c r="I12" s="441"/>
      <c r="J12" s="144" t="s">
        <v>60</v>
      </c>
      <c r="K12" s="26">
        <f t="shared" si="0"/>
        <v>0</v>
      </c>
      <c r="L12" s="26">
        <f t="shared" si="1"/>
        <v>0</v>
      </c>
      <c r="M12" s="26">
        <f t="shared" si="2"/>
        <v>0</v>
      </c>
      <c r="N12" s="26">
        <f t="shared" si="3"/>
        <v>0</v>
      </c>
      <c r="O12" s="26">
        <f t="shared" si="4"/>
        <v>0</v>
      </c>
      <c r="P12" s="26">
        <f t="shared" si="5"/>
        <v>0</v>
      </c>
      <c r="Q12" s="26">
        <f t="shared" si="6"/>
        <v>0</v>
      </c>
      <c r="R12" s="27">
        <f t="shared" si="7"/>
        <v>0</v>
      </c>
      <c r="S12" s="23"/>
      <c r="T12" s="3"/>
    </row>
    <row r="13" spans="1:20" x14ac:dyDescent="0.25">
      <c r="A13" s="515" t="s">
        <v>59</v>
      </c>
      <c r="B13" s="515"/>
      <c r="C13" s="441"/>
      <c r="D13" s="441"/>
      <c r="E13" s="441"/>
      <c r="F13" s="441"/>
      <c r="G13" s="441"/>
      <c r="H13" s="441"/>
      <c r="I13" s="441"/>
      <c r="J13" s="144" t="s">
        <v>61</v>
      </c>
      <c r="K13" s="26">
        <f t="shared" si="0"/>
        <v>0</v>
      </c>
      <c r="L13" s="26">
        <f t="shared" si="1"/>
        <v>0</v>
      </c>
      <c r="M13" s="26">
        <f t="shared" si="2"/>
        <v>0</v>
      </c>
      <c r="N13" s="26">
        <f t="shared" si="3"/>
        <v>0</v>
      </c>
      <c r="O13" s="26">
        <f t="shared" si="4"/>
        <v>0</v>
      </c>
      <c r="P13" s="26">
        <f t="shared" si="5"/>
        <v>0</v>
      </c>
      <c r="Q13" s="26">
        <f t="shared" si="6"/>
        <v>0</v>
      </c>
      <c r="R13" s="27">
        <f t="shared" si="7"/>
        <v>0</v>
      </c>
      <c r="S13" s="23"/>
      <c r="T13" s="3"/>
    </row>
    <row r="14" spans="1:20" x14ac:dyDescent="0.25">
      <c r="A14" s="515" t="s">
        <v>97</v>
      </c>
      <c r="B14" s="515"/>
      <c r="C14" s="441"/>
      <c r="D14" s="441"/>
      <c r="E14" s="441"/>
      <c r="F14" s="441"/>
      <c r="G14" s="441"/>
      <c r="H14" s="441"/>
      <c r="I14" s="441"/>
      <c r="J14" s="144" t="s">
        <v>515</v>
      </c>
      <c r="K14" s="26">
        <f t="shared" si="0"/>
        <v>0</v>
      </c>
      <c r="L14" s="26">
        <f t="shared" si="1"/>
        <v>0</v>
      </c>
      <c r="M14" s="26">
        <f t="shared" si="2"/>
        <v>0</v>
      </c>
      <c r="N14" s="26">
        <f t="shared" si="3"/>
        <v>0</v>
      </c>
      <c r="O14" s="26">
        <f t="shared" si="4"/>
        <v>0</v>
      </c>
      <c r="P14" s="26">
        <f t="shared" si="5"/>
        <v>0</v>
      </c>
      <c r="Q14" s="26">
        <f t="shared" si="6"/>
        <v>0</v>
      </c>
      <c r="R14" s="27">
        <f t="shared" si="7"/>
        <v>0</v>
      </c>
      <c r="S14" s="23"/>
      <c r="T14" s="3"/>
    </row>
    <row r="15" spans="1:20" ht="12.6" customHeight="1" x14ac:dyDescent="0.25">
      <c r="A15" s="515" t="s">
        <v>359</v>
      </c>
      <c r="B15" s="515"/>
      <c r="C15" s="441"/>
      <c r="D15" s="441"/>
      <c r="E15" s="441"/>
      <c r="F15" s="441"/>
      <c r="G15" s="441"/>
      <c r="H15" s="441"/>
      <c r="I15" s="441"/>
      <c r="J15" s="144" t="s">
        <v>516</v>
      </c>
      <c r="K15" s="26">
        <f t="shared" si="0"/>
        <v>0</v>
      </c>
      <c r="L15" s="26">
        <f t="shared" si="1"/>
        <v>0</v>
      </c>
      <c r="M15" s="26">
        <f t="shared" si="2"/>
        <v>0</v>
      </c>
      <c r="N15" s="26">
        <f t="shared" si="3"/>
        <v>0</v>
      </c>
      <c r="O15" s="26">
        <f t="shared" si="4"/>
        <v>0</v>
      </c>
      <c r="P15" s="26">
        <f t="shared" si="5"/>
        <v>0</v>
      </c>
      <c r="Q15" s="26">
        <f t="shared" si="6"/>
        <v>0</v>
      </c>
      <c r="R15" s="27">
        <f t="shared" si="7"/>
        <v>0</v>
      </c>
      <c r="S15" s="23"/>
      <c r="T15" s="3"/>
    </row>
    <row r="16" spans="1:20" ht="12.6" customHeight="1" x14ac:dyDescent="0.25">
      <c r="A16" s="515" t="s">
        <v>360</v>
      </c>
      <c r="B16" s="515"/>
      <c r="C16" s="441"/>
      <c r="D16" s="441"/>
      <c r="E16" s="441"/>
      <c r="F16" s="441"/>
      <c r="G16" s="441"/>
      <c r="H16" s="441"/>
      <c r="I16" s="441"/>
      <c r="J16" s="144" t="s">
        <v>517</v>
      </c>
      <c r="K16" s="26">
        <f t="shared" si="0"/>
        <v>0</v>
      </c>
      <c r="L16" s="26">
        <f t="shared" si="1"/>
        <v>0</v>
      </c>
      <c r="M16" s="26">
        <f t="shared" si="2"/>
        <v>0</v>
      </c>
      <c r="N16" s="26">
        <f t="shared" si="3"/>
        <v>0</v>
      </c>
      <c r="O16" s="26">
        <f t="shared" si="4"/>
        <v>0</v>
      </c>
      <c r="P16" s="26">
        <f t="shared" si="5"/>
        <v>0</v>
      </c>
      <c r="Q16" s="26">
        <f t="shared" si="6"/>
        <v>0</v>
      </c>
      <c r="R16" s="27">
        <f t="shared" si="7"/>
        <v>0</v>
      </c>
      <c r="S16" s="23"/>
      <c r="T16" s="3"/>
    </row>
    <row r="17" spans="1:20" ht="12.6" customHeight="1" x14ac:dyDescent="0.25">
      <c r="A17" s="515" t="s">
        <v>143</v>
      </c>
      <c r="B17" s="515"/>
      <c r="C17" s="441"/>
      <c r="D17" s="441"/>
      <c r="E17" s="441"/>
      <c r="F17" s="441"/>
      <c r="G17" s="441"/>
      <c r="H17" s="441"/>
      <c r="I17" s="441"/>
      <c r="J17" s="144" t="s">
        <v>154</v>
      </c>
      <c r="K17" s="26">
        <f t="shared" si="0"/>
        <v>0</v>
      </c>
      <c r="L17" s="26">
        <f t="shared" si="1"/>
        <v>0</v>
      </c>
      <c r="M17" s="26">
        <f t="shared" si="2"/>
        <v>0</v>
      </c>
      <c r="N17" s="26">
        <f t="shared" si="3"/>
        <v>0</v>
      </c>
      <c r="O17" s="26">
        <f t="shared" si="4"/>
        <v>0</v>
      </c>
      <c r="P17" s="26">
        <f t="shared" si="5"/>
        <v>0</v>
      </c>
      <c r="Q17" s="26">
        <f t="shared" si="6"/>
        <v>0</v>
      </c>
      <c r="R17" s="27">
        <f t="shared" si="7"/>
        <v>0</v>
      </c>
      <c r="S17" s="23"/>
      <c r="T17" s="3"/>
    </row>
    <row r="18" spans="1:20" x14ac:dyDescent="0.25">
      <c r="A18" s="515" t="s">
        <v>361</v>
      </c>
      <c r="B18" s="515"/>
      <c r="C18" s="441"/>
      <c r="D18" s="441"/>
      <c r="E18" s="441"/>
      <c r="F18" s="441"/>
      <c r="G18" s="441"/>
      <c r="H18" s="441"/>
      <c r="I18" s="441"/>
      <c r="J18" s="144" t="s">
        <v>518</v>
      </c>
      <c r="K18" s="26">
        <f t="shared" si="0"/>
        <v>0</v>
      </c>
      <c r="L18" s="26">
        <f t="shared" si="1"/>
        <v>0</v>
      </c>
      <c r="M18" s="26">
        <f t="shared" si="2"/>
        <v>0</v>
      </c>
      <c r="N18" s="26">
        <f t="shared" si="3"/>
        <v>0</v>
      </c>
      <c r="O18" s="26">
        <f t="shared" si="4"/>
        <v>0</v>
      </c>
      <c r="P18" s="26">
        <f t="shared" si="5"/>
        <v>0</v>
      </c>
      <c r="Q18" s="26">
        <f t="shared" si="6"/>
        <v>0</v>
      </c>
      <c r="R18" s="27">
        <f t="shared" si="7"/>
        <v>0</v>
      </c>
      <c r="S18" s="23"/>
      <c r="T18" s="3"/>
    </row>
    <row r="19" spans="1:20" ht="12.45" customHeight="1" x14ac:dyDescent="0.25">
      <c r="A19" s="515" t="s">
        <v>69</v>
      </c>
      <c r="B19" s="515"/>
      <c r="C19" s="441"/>
      <c r="D19" s="441"/>
      <c r="E19" s="441"/>
      <c r="F19" s="441"/>
      <c r="G19" s="441"/>
      <c r="H19" s="441"/>
      <c r="I19" s="441"/>
      <c r="J19" s="144" t="s">
        <v>62</v>
      </c>
      <c r="K19" s="26">
        <f t="shared" si="0"/>
        <v>0</v>
      </c>
      <c r="L19" s="26">
        <f t="shared" si="1"/>
        <v>0</v>
      </c>
      <c r="M19" s="26">
        <f t="shared" si="2"/>
        <v>0</v>
      </c>
      <c r="N19" s="26">
        <f t="shared" si="3"/>
        <v>0</v>
      </c>
      <c r="O19" s="26">
        <f t="shared" si="4"/>
        <v>0</v>
      </c>
      <c r="P19" s="26">
        <f t="shared" si="5"/>
        <v>0</v>
      </c>
      <c r="Q19" s="26">
        <f t="shared" si="6"/>
        <v>0</v>
      </c>
      <c r="R19" s="27">
        <f t="shared" si="7"/>
        <v>0</v>
      </c>
      <c r="S19" s="23"/>
      <c r="T19" s="3"/>
    </row>
    <row r="20" spans="1:20" ht="12.45" customHeight="1" x14ac:dyDescent="0.25">
      <c r="A20" s="443" t="s">
        <v>549</v>
      </c>
      <c r="B20" s="442"/>
      <c r="C20" s="441"/>
      <c r="D20" s="441"/>
      <c r="E20" s="441"/>
      <c r="F20" s="441"/>
      <c r="G20" s="441"/>
      <c r="H20" s="441"/>
      <c r="I20" s="441"/>
      <c r="J20" s="509" t="s">
        <v>550</v>
      </c>
      <c r="K20" s="26">
        <f t="shared" si="0"/>
        <v>0</v>
      </c>
      <c r="L20" s="26">
        <f t="shared" si="1"/>
        <v>0</v>
      </c>
      <c r="M20" s="26">
        <f t="shared" si="2"/>
        <v>0</v>
      </c>
      <c r="N20" s="26">
        <f t="shared" si="3"/>
        <v>0</v>
      </c>
      <c r="O20" s="26">
        <f t="shared" si="4"/>
        <v>0</v>
      </c>
      <c r="P20" s="26">
        <f t="shared" si="5"/>
        <v>0</v>
      </c>
      <c r="Q20" s="26">
        <f t="shared" si="6"/>
        <v>0</v>
      </c>
      <c r="R20" s="27">
        <f t="shared" ref="R20" si="8">SUM(K20:Q20)</f>
        <v>0</v>
      </c>
      <c r="S20" s="23"/>
      <c r="T20" s="3"/>
    </row>
    <row r="21" spans="1:20" ht="12.45" customHeight="1" x14ac:dyDescent="0.25">
      <c r="A21" s="523" t="s">
        <v>575</v>
      </c>
      <c r="B21" s="523"/>
      <c r="C21" s="441"/>
      <c r="D21" s="441"/>
      <c r="E21" s="441"/>
      <c r="F21" s="441"/>
      <c r="G21" s="441"/>
      <c r="H21" s="441"/>
      <c r="I21" s="441"/>
      <c r="J21" s="478" t="s">
        <v>576</v>
      </c>
      <c r="K21" s="26">
        <f t="shared" si="0"/>
        <v>0</v>
      </c>
      <c r="L21" s="26">
        <f t="shared" si="1"/>
        <v>0</v>
      </c>
      <c r="M21" s="26">
        <f t="shared" si="2"/>
        <v>0</v>
      </c>
      <c r="N21" s="26">
        <f t="shared" si="3"/>
        <v>0</v>
      </c>
      <c r="O21" s="26">
        <f t="shared" si="4"/>
        <v>0</v>
      </c>
      <c r="P21" s="26">
        <f t="shared" si="5"/>
        <v>0</v>
      </c>
      <c r="Q21" s="26">
        <f t="shared" si="6"/>
        <v>0</v>
      </c>
      <c r="R21" s="27">
        <f t="shared" si="7"/>
        <v>0</v>
      </c>
      <c r="S21" s="23"/>
      <c r="T21" s="3"/>
    </row>
    <row r="22" spans="1:20" x14ac:dyDescent="0.25">
      <c r="A22" s="515" t="s">
        <v>362</v>
      </c>
      <c r="B22" s="515"/>
      <c r="C22" s="441"/>
      <c r="D22" s="441"/>
      <c r="E22" s="441"/>
      <c r="F22" s="441"/>
      <c r="G22" s="441"/>
      <c r="H22" s="441"/>
      <c r="I22" s="441"/>
      <c r="J22" s="144" t="s">
        <v>519</v>
      </c>
      <c r="K22" s="26">
        <f t="shared" si="0"/>
        <v>0</v>
      </c>
      <c r="L22" s="26">
        <f t="shared" si="1"/>
        <v>0</v>
      </c>
      <c r="M22" s="26">
        <f t="shared" si="2"/>
        <v>0</v>
      </c>
      <c r="N22" s="26">
        <f t="shared" si="3"/>
        <v>0</v>
      </c>
      <c r="O22" s="26">
        <f t="shared" si="4"/>
        <v>0</v>
      </c>
      <c r="P22" s="26">
        <f t="shared" si="5"/>
        <v>0</v>
      </c>
      <c r="Q22" s="26">
        <f t="shared" si="6"/>
        <v>0</v>
      </c>
      <c r="R22" s="27">
        <f t="shared" si="7"/>
        <v>0</v>
      </c>
      <c r="S22" s="23"/>
      <c r="T22" s="3"/>
    </row>
    <row r="23" spans="1:20" x14ac:dyDescent="0.25">
      <c r="A23" s="515" t="s">
        <v>98</v>
      </c>
      <c r="B23" s="515"/>
      <c r="C23" s="441"/>
      <c r="D23" s="441"/>
      <c r="E23" s="441"/>
      <c r="F23" s="441"/>
      <c r="G23" s="441"/>
      <c r="H23" s="441"/>
      <c r="I23" s="441"/>
      <c r="J23" s="144" t="s">
        <v>99</v>
      </c>
      <c r="K23" s="26">
        <f t="shared" si="0"/>
        <v>0</v>
      </c>
      <c r="L23" s="26">
        <f t="shared" si="1"/>
        <v>0</v>
      </c>
      <c r="M23" s="26">
        <f t="shared" si="2"/>
        <v>0</v>
      </c>
      <c r="N23" s="26">
        <f t="shared" si="3"/>
        <v>0</v>
      </c>
      <c r="O23" s="26">
        <f t="shared" si="4"/>
        <v>0</v>
      </c>
      <c r="P23" s="26">
        <f t="shared" si="5"/>
        <v>0</v>
      </c>
      <c r="Q23" s="26">
        <f t="shared" si="6"/>
        <v>0</v>
      </c>
      <c r="R23" s="27">
        <f t="shared" si="7"/>
        <v>0</v>
      </c>
      <c r="S23" s="23"/>
      <c r="T23" s="3"/>
    </row>
    <row r="24" spans="1:20" x14ac:dyDescent="0.25">
      <c r="A24" s="515" t="s">
        <v>363</v>
      </c>
      <c r="B24" s="515"/>
      <c r="C24" s="441"/>
      <c r="D24" s="441"/>
      <c r="E24" s="441"/>
      <c r="F24" s="441"/>
      <c r="G24" s="441"/>
      <c r="H24" s="441"/>
      <c r="I24" s="441"/>
      <c r="J24" s="144" t="s">
        <v>520</v>
      </c>
      <c r="K24" s="26">
        <f t="shared" si="0"/>
        <v>0</v>
      </c>
      <c r="L24" s="26">
        <f t="shared" si="1"/>
        <v>0</v>
      </c>
      <c r="M24" s="26">
        <f t="shared" si="2"/>
        <v>0</v>
      </c>
      <c r="N24" s="26">
        <f t="shared" si="3"/>
        <v>0</v>
      </c>
      <c r="O24" s="26">
        <f t="shared" si="4"/>
        <v>0</v>
      </c>
      <c r="P24" s="26">
        <f t="shared" si="5"/>
        <v>0</v>
      </c>
      <c r="Q24" s="26">
        <f t="shared" si="6"/>
        <v>0</v>
      </c>
      <c r="R24" s="27">
        <f t="shared" si="7"/>
        <v>0</v>
      </c>
      <c r="S24" s="23"/>
      <c r="T24" s="3"/>
    </row>
    <row r="25" spans="1:20" s="5" customFormat="1" x14ac:dyDescent="0.25">
      <c r="A25" s="515" t="s">
        <v>364</v>
      </c>
      <c r="B25" s="515"/>
      <c r="C25" s="441"/>
      <c r="D25" s="441"/>
      <c r="E25" s="441"/>
      <c r="F25" s="441"/>
      <c r="G25" s="441"/>
      <c r="H25" s="441"/>
      <c r="I25" s="441"/>
      <c r="J25" s="144" t="s">
        <v>160</v>
      </c>
      <c r="K25" s="55">
        <f t="shared" si="0"/>
        <v>0</v>
      </c>
      <c r="L25" s="55">
        <f t="shared" si="1"/>
        <v>0</v>
      </c>
      <c r="M25" s="55">
        <f t="shared" si="2"/>
        <v>0</v>
      </c>
      <c r="N25" s="26">
        <f t="shared" si="3"/>
        <v>0</v>
      </c>
      <c r="O25" s="26">
        <f t="shared" si="4"/>
        <v>0</v>
      </c>
      <c r="P25" s="26">
        <f t="shared" si="5"/>
        <v>0</v>
      </c>
      <c r="Q25" s="26">
        <f t="shared" si="6"/>
        <v>0</v>
      </c>
      <c r="R25" s="27">
        <f t="shared" si="7"/>
        <v>0</v>
      </c>
      <c r="S25" s="56"/>
      <c r="T25" s="57"/>
    </row>
    <row r="26" spans="1:20" x14ac:dyDescent="0.25">
      <c r="A26" s="515" t="s">
        <v>150</v>
      </c>
      <c r="B26" s="515"/>
      <c r="C26" s="441"/>
      <c r="D26" s="441"/>
      <c r="E26" s="441"/>
      <c r="F26" s="441"/>
      <c r="G26" s="441"/>
      <c r="H26" s="441"/>
      <c r="I26" s="441"/>
      <c r="J26" s="144" t="s">
        <v>521</v>
      </c>
      <c r="K26" s="26">
        <f t="shared" si="0"/>
        <v>0</v>
      </c>
      <c r="L26" s="26">
        <f t="shared" si="1"/>
        <v>0</v>
      </c>
      <c r="M26" s="26">
        <f t="shared" si="2"/>
        <v>0</v>
      </c>
      <c r="N26" s="26">
        <f t="shared" si="3"/>
        <v>0</v>
      </c>
      <c r="O26" s="26">
        <f t="shared" si="4"/>
        <v>0</v>
      </c>
      <c r="P26" s="26">
        <f t="shared" si="5"/>
        <v>0</v>
      </c>
      <c r="Q26" s="26">
        <f t="shared" si="6"/>
        <v>0</v>
      </c>
      <c r="R26" s="27">
        <f t="shared" si="7"/>
        <v>0</v>
      </c>
      <c r="S26" s="23"/>
      <c r="T26" s="3"/>
    </row>
    <row r="27" spans="1:20" x14ac:dyDescent="0.25">
      <c r="A27" s="515" t="s">
        <v>365</v>
      </c>
      <c r="B27" s="515"/>
      <c r="C27" s="441"/>
      <c r="D27" s="441"/>
      <c r="E27" s="441"/>
      <c r="F27" s="441"/>
      <c r="G27" s="441"/>
      <c r="H27" s="441"/>
      <c r="I27" s="441"/>
      <c r="J27" s="144" t="s">
        <v>522</v>
      </c>
      <c r="K27" s="26">
        <f t="shared" si="0"/>
        <v>0</v>
      </c>
      <c r="L27" s="26">
        <f t="shared" si="1"/>
        <v>0</v>
      </c>
      <c r="M27" s="26">
        <f t="shared" si="2"/>
        <v>0</v>
      </c>
      <c r="N27" s="26">
        <f t="shared" si="3"/>
        <v>0</v>
      </c>
      <c r="O27" s="26">
        <f t="shared" si="4"/>
        <v>0</v>
      </c>
      <c r="P27" s="26">
        <f t="shared" si="5"/>
        <v>0</v>
      </c>
      <c r="Q27" s="26">
        <f t="shared" si="6"/>
        <v>0</v>
      </c>
      <c r="R27" s="27">
        <f t="shared" si="7"/>
        <v>0</v>
      </c>
      <c r="S27" s="23"/>
      <c r="T27" s="3"/>
    </row>
    <row r="28" spans="1:20" x14ac:dyDescent="0.25">
      <c r="A28" s="515" t="s">
        <v>366</v>
      </c>
      <c r="B28" s="515"/>
      <c r="C28" s="441"/>
      <c r="D28" s="441"/>
      <c r="E28" s="441"/>
      <c r="F28" s="441"/>
      <c r="G28" s="441"/>
      <c r="H28" s="441"/>
      <c r="I28" s="441"/>
      <c r="J28" s="145" t="s">
        <v>523</v>
      </c>
      <c r="K28" s="26">
        <f t="shared" si="0"/>
        <v>0</v>
      </c>
      <c r="L28" s="26">
        <f t="shared" si="1"/>
        <v>0</v>
      </c>
      <c r="M28" s="26">
        <f t="shared" si="2"/>
        <v>0</v>
      </c>
      <c r="N28" s="26">
        <f t="shared" si="3"/>
        <v>0</v>
      </c>
      <c r="O28" s="26">
        <f t="shared" si="4"/>
        <v>0</v>
      </c>
      <c r="P28" s="26">
        <f t="shared" si="5"/>
        <v>0</v>
      </c>
      <c r="Q28" s="26">
        <f t="shared" si="6"/>
        <v>0</v>
      </c>
      <c r="R28" s="27">
        <f t="shared" si="7"/>
        <v>0</v>
      </c>
      <c r="S28" s="23"/>
      <c r="T28" s="3"/>
    </row>
    <row r="29" spans="1:20" ht="12.45" customHeight="1" x14ac:dyDescent="0.25">
      <c r="A29" s="515" t="s">
        <v>367</v>
      </c>
      <c r="B29" s="515"/>
      <c r="C29" s="441"/>
      <c r="D29" s="441"/>
      <c r="E29" s="441"/>
      <c r="F29" s="441"/>
      <c r="G29" s="441"/>
      <c r="H29" s="441"/>
      <c r="I29" s="441"/>
      <c r="J29" s="439" t="s">
        <v>524</v>
      </c>
      <c r="K29" s="26">
        <f t="shared" si="0"/>
        <v>0</v>
      </c>
      <c r="L29" s="26">
        <f t="shared" si="1"/>
        <v>0</v>
      </c>
      <c r="M29" s="26">
        <f t="shared" si="2"/>
        <v>0</v>
      </c>
      <c r="N29" s="26">
        <f t="shared" si="3"/>
        <v>0</v>
      </c>
      <c r="O29" s="26">
        <f t="shared" si="4"/>
        <v>0</v>
      </c>
      <c r="P29" s="26">
        <f t="shared" si="5"/>
        <v>0</v>
      </c>
      <c r="Q29" s="26">
        <f t="shared" si="6"/>
        <v>0</v>
      </c>
      <c r="R29" s="27">
        <f t="shared" si="7"/>
        <v>0</v>
      </c>
      <c r="S29" s="23"/>
      <c r="T29" s="3"/>
    </row>
    <row r="30" spans="1:20" ht="12.45" customHeight="1" x14ac:dyDescent="0.25">
      <c r="A30" s="460" t="s">
        <v>568</v>
      </c>
      <c r="B30" s="459"/>
      <c r="C30" s="441"/>
      <c r="D30" s="441"/>
      <c r="E30" s="441"/>
      <c r="F30" s="441"/>
      <c r="G30" s="441"/>
      <c r="H30" s="441"/>
      <c r="I30" s="441"/>
      <c r="J30" s="459" t="s">
        <v>569</v>
      </c>
      <c r="K30" s="26">
        <f t="shared" si="0"/>
        <v>0</v>
      </c>
      <c r="L30" s="26">
        <f t="shared" si="1"/>
        <v>0</v>
      </c>
      <c r="M30" s="26">
        <f t="shared" si="2"/>
        <v>0</v>
      </c>
      <c r="N30" s="26">
        <f t="shared" si="3"/>
        <v>0</v>
      </c>
      <c r="O30" s="26">
        <f t="shared" si="4"/>
        <v>0</v>
      </c>
      <c r="P30" s="26">
        <f t="shared" si="5"/>
        <v>0</v>
      </c>
      <c r="Q30" s="26">
        <f t="shared" si="6"/>
        <v>0</v>
      </c>
      <c r="R30" s="27">
        <f t="shared" ref="R30" si="9">SUM(K30:Q30)</f>
        <v>0</v>
      </c>
      <c r="S30" s="23"/>
      <c r="T30" s="3"/>
    </row>
    <row r="31" spans="1:20" x14ac:dyDescent="0.25">
      <c r="A31" s="515" t="s">
        <v>368</v>
      </c>
      <c r="B31" s="515"/>
      <c r="C31" s="441"/>
      <c r="D31" s="441"/>
      <c r="E31" s="441"/>
      <c r="F31" s="441"/>
      <c r="G31" s="441"/>
      <c r="H31" s="441"/>
      <c r="I31" s="441"/>
      <c r="J31" s="439" t="s">
        <v>525</v>
      </c>
      <c r="K31" s="26">
        <f t="shared" si="0"/>
        <v>0</v>
      </c>
      <c r="L31" s="26">
        <f t="shared" si="1"/>
        <v>0</v>
      </c>
      <c r="M31" s="26">
        <f t="shared" si="2"/>
        <v>0</v>
      </c>
      <c r="N31" s="26">
        <f t="shared" si="3"/>
        <v>0</v>
      </c>
      <c r="O31" s="26">
        <f t="shared" si="4"/>
        <v>0</v>
      </c>
      <c r="P31" s="26">
        <f t="shared" si="5"/>
        <v>0</v>
      </c>
      <c r="Q31" s="26">
        <f t="shared" si="6"/>
        <v>0</v>
      </c>
      <c r="R31" s="27">
        <f t="shared" si="7"/>
        <v>0</v>
      </c>
      <c r="S31" s="23"/>
      <c r="T31" s="3"/>
    </row>
    <row r="32" spans="1:20" x14ac:dyDescent="0.25">
      <c r="A32" s="515" t="s">
        <v>144</v>
      </c>
      <c r="B32" s="515"/>
      <c r="C32" s="441"/>
      <c r="D32" s="441"/>
      <c r="E32" s="441"/>
      <c r="F32" s="441"/>
      <c r="G32" s="441"/>
      <c r="H32" s="441"/>
      <c r="I32" s="441"/>
      <c r="J32" s="439" t="s">
        <v>155</v>
      </c>
      <c r="K32" s="26">
        <f t="shared" si="0"/>
        <v>0</v>
      </c>
      <c r="L32" s="26">
        <f t="shared" si="1"/>
        <v>0</v>
      </c>
      <c r="M32" s="26">
        <f t="shared" si="2"/>
        <v>0</v>
      </c>
      <c r="N32" s="26">
        <f t="shared" si="3"/>
        <v>0</v>
      </c>
      <c r="O32" s="26">
        <f t="shared" si="4"/>
        <v>0</v>
      </c>
      <c r="P32" s="26">
        <f t="shared" si="5"/>
        <v>0</v>
      </c>
      <c r="Q32" s="26">
        <f t="shared" si="6"/>
        <v>0</v>
      </c>
      <c r="R32" s="27">
        <f t="shared" si="7"/>
        <v>0</v>
      </c>
      <c r="S32" s="23"/>
      <c r="T32" s="3"/>
    </row>
    <row r="33" spans="1:20" x14ac:dyDescent="0.25">
      <c r="A33" s="515" t="s">
        <v>100</v>
      </c>
      <c r="B33" s="515"/>
      <c r="C33" s="441"/>
      <c r="D33" s="441"/>
      <c r="E33" s="441"/>
      <c r="F33" s="441"/>
      <c r="G33" s="441"/>
      <c r="H33" s="441"/>
      <c r="I33" s="441"/>
      <c r="J33" s="439" t="s">
        <v>526</v>
      </c>
      <c r="K33" s="26">
        <f t="shared" si="0"/>
        <v>0</v>
      </c>
      <c r="L33" s="26">
        <f t="shared" si="1"/>
        <v>0</v>
      </c>
      <c r="M33" s="26">
        <f t="shared" si="2"/>
        <v>0</v>
      </c>
      <c r="N33" s="26">
        <f t="shared" si="3"/>
        <v>0</v>
      </c>
      <c r="O33" s="26">
        <f t="shared" si="4"/>
        <v>0</v>
      </c>
      <c r="P33" s="26">
        <f t="shared" si="5"/>
        <v>0</v>
      </c>
      <c r="Q33" s="26">
        <f t="shared" si="6"/>
        <v>0</v>
      </c>
      <c r="R33" s="27">
        <f t="shared" si="7"/>
        <v>0</v>
      </c>
      <c r="S33" s="23"/>
      <c r="T33" s="3"/>
    </row>
    <row r="34" spans="1:20" x14ac:dyDescent="0.25">
      <c r="A34" s="515" t="s">
        <v>369</v>
      </c>
      <c r="B34" s="515"/>
      <c r="C34" s="441"/>
      <c r="D34" s="441"/>
      <c r="E34" s="441"/>
      <c r="F34" s="441"/>
      <c r="G34" s="441"/>
      <c r="H34" s="441"/>
      <c r="I34" s="441"/>
      <c r="J34" s="439" t="s">
        <v>527</v>
      </c>
      <c r="K34" s="26">
        <f t="shared" si="0"/>
        <v>0</v>
      </c>
      <c r="L34" s="26">
        <f t="shared" si="1"/>
        <v>0</v>
      </c>
      <c r="M34" s="26">
        <f t="shared" si="2"/>
        <v>0</v>
      </c>
      <c r="N34" s="26">
        <f t="shared" si="3"/>
        <v>0</v>
      </c>
      <c r="O34" s="26">
        <f t="shared" si="4"/>
        <v>0</v>
      </c>
      <c r="P34" s="26">
        <f t="shared" si="5"/>
        <v>0</v>
      </c>
      <c r="Q34" s="26">
        <f t="shared" si="6"/>
        <v>0</v>
      </c>
      <c r="R34" s="27">
        <f t="shared" si="7"/>
        <v>0</v>
      </c>
      <c r="S34" s="23"/>
      <c r="T34" s="3"/>
    </row>
    <row r="35" spans="1:20" x14ac:dyDescent="0.25">
      <c r="A35" s="515" t="s">
        <v>370</v>
      </c>
      <c r="B35" s="515"/>
      <c r="C35" s="441"/>
      <c r="D35" s="441"/>
      <c r="E35" s="441"/>
      <c r="F35" s="441"/>
      <c r="G35" s="441"/>
      <c r="H35" s="441"/>
      <c r="I35" s="441"/>
      <c r="J35" s="439" t="s">
        <v>118</v>
      </c>
      <c r="K35" s="26">
        <f t="shared" si="0"/>
        <v>0</v>
      </c>
      <c r="L35" s="26">
        <f t="shared" si="1"/>
        <v>0</v>
      </c>
      <c r="M35" s="26">
        <f t="shared" si="2"/>
        <v>0</v>
      </c>
      <c r="N35" s="26">
        <f t="shared" si="3"/>
        <v>0</v>
      </c>
      <c r="O35" s="26">
        <f t="shared" si="4"/>
        <v>0</v>
      </c>
      <c r="P35" s="26">
        <f t="shared" si="5"/>
        <v>0</v>
      </c>
      <c r="Q35" s="26">
        <f t="shared" si="6"/>
        <v>0</v>
      </c>
      <c r="R35" s="27">
        <f t="shared" si="7"/>
        <v>0</v>
      </c>
      <c r="S35" s="23"/>
      <c r="T35" s="3"/>
    </row>
    <row r="36" spans="1:20" x14ac:dyDescent="0.25">
      <c r="A36" s="515" t="s">
        <v>145</v>
      </c>
      <c r="B36" s="515"/>
      <c r="C36" s="441"/>
      <c r="D36" s="441"/>
      <c r="E36" s="441"/>
      <c r="F36" s="441"/>
      <c r="G36" s="441"/>
      <c r="H36" s="441"/>
      <c r="I36" s="441"/>
      <c r="J36" s="439" t="s">
        <v>528</v>
      </c>
      <c r="K36" s="26">
        <f t="shared" si="0"/>
        <v>0</v>
      </c>
      <c r="L36" s="26">
        <f t="shared" si="1"/>
        <v>0</v>
      </c>
      <c r="M36" s="26">
        <f t="shared" si="2"/>
        <v>0</v>
      </c>
      <c r="N36" s="26">
        <f t="shared" si="3"/>
        <v>0</v>
      </c>
      <c r="O36" s="26">
        <f t="shared" si="4"/>
        <v>0</v>
      </c>
      <c r="P36" s="26">
        <f t="shared" si="5"/>
        <v>0</v>
      </c>
      <c r="Q36" s="26">
        <f t="shared" si="6"/>
        <v>0</v>
      </c>
      <c r="R36" s="27">
        <f t="shared" si="7"/>
        <v>0</v>
      </c>
      <c r="S36" s="23"/>
      <c r="T36" s="3"/>
    </row>
    <row r="37" spans="1:20" x14ac:dyDescent="0.25">
      <c r="A37" s="515" t="s">
        <v>371</v>
      </c>
      <c r="B37" s="515"/>
      <c r="C37" s="441"/>
      <c r="D37" s="441"/>
      <c r="E37" s="441"/>
      <c r="F37" s="441"/>
      <c r="G37" s="441"/>
      <c r="H37" s="441"/>
      <c r="I37" s="441"/>
      <c r="J37" s="439" t="s">
        <v>156</v>
      </c>
      <c r="K37" s="26">
        <f t="shared" si="0"/>
        <v>0</v>
      </c>
      <c r="L37" s="26">
        <f t="shared" si="1"/>
        <v>0</v>
      </c>
      <c r="M37" s="26">
        <f t="shared" si="2"/>
        <v>0</v>
      </c>
      <c r="N37" s="26">
        <f t="shared" si="3"/>
        <v>0</v>
      </c>
      <c r="O37" s="26">
        <f t="shared" si="4"/>
        <v>0</v>
      </c>
      <c r="P37" s="26">
        <f t="shared" si="5"/>
        <v>0</v>
      </c>
      <c r="Q37" s="26">
        <f t="shared" si="6"/>
        <v>0</v>
      </c>
      <c r="R37" s="27">
        <f t="shared" si="7"/>
        <v>0</v>
      </c>
      <c r="S37" s="23"/>
      <c r="T37" s="3"/>
    </row>
    <row r="38" spans="1:20" x14ac:dyDescent="0.25">
      <c r="A38" s="515" t="s">
        <v>146</v>
      </c>
      <c r="B38" s="515"/>
      <c r="C38" s="441"/>
      <c r="D38" s="441"/>
      <c r="E38" s="441"/>
      <c r="F38" s="441"/>
      <c r="G38" s="441"/>
      <c r="H38" s="441"/>
      <c r="I38" s="441"/>
      <c r="J38" s="439" t="s">
        <v>157</v>
      </c>
      <c r="K38" s="26">
        <f t="shared" si="0"/>
        <v>0</v>
      </c>
      <c r="L38" s="26">
        <f t="shared" si="1"/>
        <v>0</v>
      </c>
      <c r="M38" s="26">
        <f t="shared" si="2"/>
        <v>0</v>
      </c>
      <c r="N38" s="26">
        <f t="shared" si="3"/>
        <v>0</v>
      </c>
      <c r="O38" s="26">
        <f t="shared" si="4"/>
        <v>0</v>
      </c>
      <c r="P38" s="26">
        <f t="shared" si="5"/>
        <v>0</v>
      </c>
      <c r="Q38" s="26">
        <f t="shared" si="6"/>
        <v>0</v>
      </c>
      <c r="R38" s="27">
        <f t="shared" si="7"/>
        <v>0</v>
      </c>
      <c r="S38" s="23"/>
      <c r="T38" s="3"/>
    </row>
    <row r="39" spans="1:20" x14ac:dyDescent="0.25">
      <c r="A39" s="515" t="s">
        <v>147</v>
      </c>
      <c r="B39" s="515"/>
      <c r="C39" s="441"/>
      <c r="D39" s="441"/>
      <c r="E39" s="441"/>
      <c r="F39" s="441"/>
      <c r="G39" s="441"/>
      <c r="H39" s="441"/>
      <c r="I39" s="441"/>
      <c r="J39" s="439" t="s">
        <v>158</v>
      </c>
      <c r="K39" s="26">
        <f t="shared" si="0"/>
        <v>0</v>
      </c>
      <c r="L39" s="26">
        <f t="shared" si="1"/>
        <v>0</v>
      </c>
      <c r="M39" s="26">
        <f t="shared" si="2"/>
        <v>0</v>
      </c>
      <c r="N39" s="26">
        <f t="shared" si="3"/>
        <v>0</v>
      </c>
      <c r="O39" s="26">
        <f t="shared" si="4"/>
        <v>0</v>
      </c>
      <c r="P39" s="26">
        <f t="shared" si="5"/>
        <v>0</v>
      </c>
      <c r="Q39" s="26">
        <f t="shared" si="6"/>
        <v>0</v>
      </c>
      <c r="R39" s="27">
        <f t="shared" si="7"/>
        <v>0</v>
      </c>
      <c r="S39" s="23"/>
      <c r="T39" s="3"/>
    </row>
    <row r="40" spans="1:20" x14ac:dyDescent="0.25">
      <c r="A40" s="522" t="s">
        <v>101</v>
      </c>
      <c r="B40" s="522"/>
      <c r="C40" s="441"/>
      <c r="D40" s="441"/>
      <c r="E40" s="441"/>
      <c r="F40" s="441"/>
      <c r="G40" s="441"/>
      <c r="H40" s="441"/>
      <c r="I40" s="441"/>
      <c r="J40" s="439" t="s">
        <v>102</v>
      </c>
      <c r="K40" s="26">
        <f t="shared" si="0"/>
        <v>0</v>
      </c>
      <c r="L40" s="26">
        <f t="shared" si="1"/>
        <v>0</v>
      </c>
      <c r="M40" s="26">
        <f t="shared" si="2"/>
        <v>0</v>
      </c>
      <c r="N40" s="26">
        <f t="shared" si="3"/>
        <v>0</v>
      </c>
      <c r="O40" s="26">
        <f t="shared" si="4"/>
        <v>0</v>
      </c>
      <c r="P40" s="26">
        <f t="shared" si="5"/>
        <v>0</v>
      </c>
      <c r="Q40" s="26">
        <f t="shared" si="6"/>
        <v>0</v>
      </c>
      <c r="R40" s="27">
        <f t="shared" si="7"/>
        <v>0</v>
      </c>
      <c r="S40" s="23"/>
      <c r="T40" s="3"/>
    </row>
    <row r="41" spans="1:20" ht="13.8" x14ac:dyDescent="0.25">
      <c r="A41" s="458" t="s">
        <v>566</v>
      </c>
      <c r="B41" s="459"/>
      <c r="C41" s="441"/>
      <c r="D41" s="441"/>
      <c r="E41" s="441"/>
      <c r="F41" s="441"/>
      <c r="G41" s="441"/>
      <c r="H41" s="441"/>
      <c r="I41" s="441"/>
      <c r="J41" s="461" t="s">
        <v>567</v>
      </c>
      <c r="K41" s="26">
        <f t="shared" si="0"/>
        <v>0</v>
      </c>
      <c r="L41" s="26">
        <f t="shared" si="1"/>
        <v>0</v>
      </c>
      <c r="M41" s="26">
        <f t="shared" si="2"/>
        <v>0</v>
      </c>
      <c r="N41" s="26">
        <f t="shared" si="3"/>
        <v>0</v>
      </c>
      <c r="O41" s="26">
        <f t="shared" si="4"/>
        <v>0</v>
      </c>
      <c r="P41" s="26">
        <f t="shared" si="5"/>
        <v>0</v>
      </c>
      <c r="Q41" s="26">
        <f t="shared" si="6"/>
        <v>0</v>
      </c>
      <c r="R41" s="27">
        <f t="shared" ref="R41" si="10">SUM(K41:Q41)</f>
        <v>0</v>
      </c>
      <c r="S41" s="23"/>
      <c r="T41" s="3"/>
    </row>
    <row r="42" spans="1:20" x14ac:dyDescent="0.25">
      <c r="A42" s="522" t="s">
        <v>148</v>
      </c>
      <c r="B42" s="522"/>
      <c r="C42" s="441"/>
      <c r="D42" s="441"/>
      <c r="E42" s="441"/>
      <c r="F42" s="441"/>
      <c r="G42" s="441"/>
      <c r="H42" s="441"/>
      <c r="I42" s="441"/>
      <c r="J42" s="439" t="s">
        <v>529</v>
      </c>
      <c r="K42" s="26">
        <f t="shared" si="0"/>
        <v>0</v>
      </c>
      <c r="L42" s="26">
        <f t="shared" si="1"/>
        <v>0</v>
      </c>
      <c r="M42" s="26">
        <f t="shared" si="2"/>
        <v>0</v>
      </c>
      <c r="N42" s="26">
        <f t="shared" si="3"/>
        <v>0</v>
      </c>
      <c r="O42" s="26">
        <f t="shared" si="4"/>
        <v>0</v>
      </c>
      <c r="P42" s="26">
        <f t="shared" si="5"/>
        <v>0</v>
      </c>
      <c r="Q42" s="26">
        <f t="shared" si="6"/>
        <v>0</v>
      </c>
      <c r="R42" s="27">
        <f t="shared" si="7"/>
        <v>0</v>
      </c>
      <c r="S42" s="23"/>
      <c r="T42" s="3"/>
    </row>
    <row r="43" spans="1:20" x14ac:dyDescent="0.25">
      <c r="A43" s="522" t="s">
        <v>103</v>
      </c>
      <c r="B43" s="522"/>
      <c r="C43" s="441"/>
      <c r="D43" s="441"/>
      <c r="E43" s="441"/>
      <c r="F43" s="441"/>
      <c r="G43" s="441"/>
      <c r="H43" s="441"/>
      <c r="I43" s="441"/>
      <c r="J43" s="439" t="s">
        <v>530</v>
      </c>
      <c r="K43" s="26">
        <f t="shared" si="0"/>
        <v>0</v>
      </c>
      <c r="L43" s="26">
        <f t="shared" si="1"/>
        <v>0</v>
      </c>
      <c r="M43" s="26">
        <f t="shared" si="2"/>
        <v>0</v>
      </c>
      <c r="N43" s="26">
        <f t="shared" si="3"/>
        <v>0</v>
      </c>
      <c r="O43" s="26">
        <f t="shared" si="4"/>
        <v>0</v>
      </c>
      <c r="P43" s="26">
        <f t="shared" si="5"/>
        <v>0</v>
      </c>
      <c r="Q43" s="26">
        <f t="shared" si="6"/>
        <v>0</v>
      </c>
      <c r="R43" s="27">
        <f t="shared" si="7"/>
        <v>0</v>
      </c>
      <c r="S43" s="23"/>
      <c r="T43" s="3"/>
    </row>
    <row r="44" spans="1:20" ht="13.8" x14ac:dyDescent="0.25">
      <c r="A44" s="443" t="s">
        <v>551</v>
      </c>
      <c r="B44" s="444"/>
      <c r="C44" s="441"/>
      <c r="D44" s="441"/>
      <c r="E44" s="441"/>
      <c r="F44" s="441"/>
      <c r="G44" s="441"/>
      <c r="H44" s="441"/>
      <c r="I44" s="441"/>
      <c r="J44" s="508" t="s">
        <v>552</v>
      </c>
      <c r="K44" s="26">
        <f t="shared" si="0"/>
        <v>0</v>
      </c>
      <c r="L44" s="26">
        <f t="shared" si="1"/>
        <v>0</v>
      </c>
      <c r="M44" s="26">
        <f t="shared" si="2"/>
        <v>0</v>
      </c>
      <c r="N44" s="26">
        <f t="shared" si="3"/>
        <v>0</v>
      </c>
      <c r="O44" s="26">
        <f t="shared" si="4"/>
        <v>0</v>
      </c>
      <c r="P44" s="26">
        <f t="shared" si="5"/>
        <v>0</v>
      </c>
      <c r="Q44" s="26">
        <f t="shared" si="6"/>
        <v>0</v>
      </c>
      <c r="R44" s="27">
        <f t="shared" ref="R44" si="11">SUM(K44:Q44)</f>
        <v>0</v>
      </c>
      <c r="S44" s="23"/>
      <c r="T44" s="3"/>
    </row>
    <row r="45" spans="1:20" x14ac:dyDescent="0.25">
      <c r="A45" s="522" t="s">
        <v>149</v>
      </c>
      <c r="B45" s="522"/>
      <c r="C45" s="441"/>
      <c r="D45" s="441"/>
      <c r="E45" s="441"/>
      <c r="F45" s="441"/>
      <c r="G45" s="441"/>
      <c r="H45" s="441"/>
      <c r="I45" s="441"/>
      <c r="J45" s="144" t="s">
        <v>159</v>
      </c>
      <c r="K45" s="26">
        <f t="shared" si="0"/>
        <v>0</v>
      </c>
      <c r="L45" s="26">
        <f t="shared" si="1"/>
        <v>0</v>
      </c>
      <c r="M45" s="26">
        <f t="shared" si="2"/>
        <v>0</v>
      </c>
      <c r="N45" s="26">
        <f t="shared" si="3"/>
        <v>0</v>
      </c>
      <c r="O45" s="26">
        <f t="shared" si="4"/>
        <v>0</v>
      </c>
      <c r="P45" s="26">
        <f t="shared" si="5"/>
        <v>0</v>
      </c>
      <c r="Q45" s="26">
        <f t="shared" si="6"/>
        <v>0</v>
      </c>
      <c r="R45" s="27">
        <f t="shared" si="7"/>
        <v>0</v>
      </c>
      <c r="S45" s="23"/>
      <c r="T45" s="3"/>
    </row>
    <row r="46" spans="1:20" x14ac:dyDescent="0.25">
      <c r="A46" s="522" t="s">
        <v>372</v>
      </c>
      <c r="B46" s="522"/>
      <c r="C46" s="441"/>
      <c r="D46" s="441"/>
      <c r="E46" s="441"/>
      <c r="F46" s="441"/>
      <c r="G46" s="441"/>
      <c r="H46" s="441"/>
      <c r="I46" s="441"/>
      <c r="J46" s="144" t="s">
        <v>531</v>
      </c>
      <c r="K46" s="26">
        <f t="shared" si="0"/>
        <v>0</v>
      </c>
      <c r="L46" s="26">
        <f t="shared" si="1"/>
        <v>0</v>
      </c>
      <c r="M46" s="26">
        <f t="shared" si="2"/>
        <v>0</v>
      </c>
      <c r="N46" s="26">
        <f t="shared" si="3"/>
        <v>0</v>
      </c>
      <c r="O46" s="26">
        <f t="shared" si="4"/>
        <v>0</v>
      </c>
      <c r="P46" s="26">
        <f t="shared" si="5"/>
        <v>0</v>
      </c>
      <c r="Q46" s="26">
        <f t="shared" si="6"/>
        <v>0</v>
      </c>
      <c r="R46" s="27">
        <f t="shared" si="7"/>
        <v>0</v>
      </c>
      <c r="S46" s="23"/>
      <c r="T46" s="3"/>
    </row>
    <row r="47" spans="1:20" x14ac:dyDescent="0.25">
      <c r="A47" s="522" t="s">
        <v>151</v>
      </c>
      <c r="B47" s="522"/>
      <c r="C47" s="441"/>
      <c r="D47" s="441"/>
      <c r="E47" s="441"/>
      <c r="F47" s="441"/>
      <c r="G47" s="441"/>
      <c r="H47" s="441"/>
      <c r="I47" s="441"/>
      <c r="J47" s="144" t="s">
        <v>161</v>
      </c>
      <c r="K47" s="26">
        <f t="shared" si="0"/>
        <v>0</v>
      </c>
      <c r="L47" s="26">
        <f t="shared" si="1"/>
        <v>0</v>
      </c>
      <c r="M47" s="26">
        <f t="shared" si="2"/>
        <v>0</v>
      </c>
      <c r="N47" s="26">
        <f t="shared" si="3"/>
        <v>0</v>
      </c>
      <c r="O47" s="26">
        <f t="shared" si="4"/>
        <v>0</v>
      </c>
      <c r="P47" s="26">
        <f t="shared" si="5"/>
        <v>0</v>
      </c>
      <c r="Q47" s="26">
        <f t="shared" si="6"/>
        <v>0</v>
      </c>
      <c r="R47" s="27">
        <f t="shared" si="7"/>
        <v>0</v>
      </c>
      <c r="S47" s="23"/>
      <c r="T47" s="3"/>
    </row>
    <row r="48" spans="1:20" x14ac:dyDescent="0.25">
      <c r="A48" s="522" t="s">
        <v>152</v>
      </c>
      <c r="B48" s="522"/>
      <c r="C48" s="441"/>
      <c r="D48" s="441"/>
      <c r="E48" s="441"/>
      <c r="F48" s="441"/>
      <c r="G48" s="441"/>
      <c r="H48" s="441"/>
      <c r="I48" s="441"/>
      <c r="J48" s="144" t="s">
        <v>162</v>
      </c>
      <c r="K48" s="26">
        <f t="shared" si="0"/>
        <v>0</v>
      </c>
      <c r="L48" s="26">
        <f t="shared" si="1"/>
        <v>0</v>
      </c>
      <c r="M48" s="26">
        <f t="shared" si="2"/>
        <v>0</v>
      </c>
      <c r="N48" s="26">
        <f t="shared" si="3"/>
        <v>0</v>
      </c>
      <c r="O48" s="26">
        <f t="shared" si="4"/>
        <v>0</v>
      </c>
      <c r="P48" s="26">
        <f t="shared" si="5"/>
        <v>0</v>
      </c>
      <c r="Q48" s="26">
        <f t="shared" si="6"/>
        <v>0</v>
      </c>
      <c r="R48" s="27">
        <f t="shared" si="7"/>
        <v>0</v>
      </c>
      <c r="S48" s="23"/>
      <c r="T48" s="3"/>
    </row>
    <row r="49" spans="1:20" x14ac:dyDescent="0.25">
      <c r="A49" s="524" t="s">
        <v>373</v>
      </c>
      <c r="B49" s="524"/>
      <c r="C49" s="441"/>
      <c r="D49" s="441"/>
      <c r="E49" s="441"/>
      <c r="F49" s="441"/>
      <c r="G49" s="441"/>
      <c r="H49" s="441"/>
      <c r="I49" s="441"/>
      <c r="J49" s="144" t="s">
        <v>229</v>
      </c>
      <c r="K49" s="26">
        <f t="shared" si="0"/>
        <v>0</v>
      </c>
      <c r="L49" s="26">
        <f t="shared" si="1"/>
        <v>0</v>
      </c>
      <c r="M49" s="26">
        <f t="shared" si="2"/>
        <v>0</v>
      </c>
      <c r="N49" s="26">
        <f t="shared" si="3"/>
        <v>0</v>
      </c>
      <c r="O49" s="26">
        <f t="shared" si="4"/>
        <v>0</v>
      </c>
      <c r="P49" s="26">
        <f t="shared" si="5"/>
        <v>0</v>
      </c>
      <c r="Q49" s="26">
        <f t="shared" si="6"/>
        <v>0</v>
      </c>
      <c r="R49" s="27">
        <f t="shared" si="7"/>
        <v>0</v>
      </c>
      <c r="S49" s="23"/>
      <c r="T49" s="3"/>
    </row>
    <row r="50" spans="1:20" ht="13.8" x14ac:dyDescent="0.25">
      <c r="A50" s="450" t="s">
        <v>553</v>
      </c>
      <c r="B50" s="451"/>
      <c r="C50" s="441"/>
      <c r="D50" s="441"/>
      <c r="E50" s="441"/>
      <c r="F50" s="441"/>
      <c r="G50" s="441"/>
      <c r="H50" s="441"/>
      <c r="I50" s="441"/>
      <c r="J50" s="508" t="s">
        <v>554</v>
      </c>
      <c r="K50" s="26">
        <f t="shared" si="0"/>
        <v>0</v>
      </c>
      <c r="L50" s="26">
        <f t="shared" si="1"/>
        <v>0</v>
      </c>
      <c r="M50" s="26">
        <f t="shared" si="2"/>
        <v>0</v>
      </c>
      <c r="N50" s="26">
        <f t="shared" si="3"/>
        <v>0</v>
      </c>
      <c r="O50" s="26">
        <f t="shared" si="4"/>
        <v>0</v>
      </c>
      <c r="P50" s="26">
        <f t="shared" si="5"/>
        <v>0</v>
      </c>
      <c r="Q50" s="26">
        <f t="shared" si="6"/>
        <v>0</v>
      </c>
      <c r="R50" s="27">
        <f t="shared" ref="R50" si="12">SUM(K50:Q50)</f>
        <v>0</v>
      </c>
      <c r="S50" s="23"/>
      <c r="T50" s="3"/>
    </row>
    <row r="51" spans="1:20" ht="13.8" x14ac:dyDescent="0.3">
      <c r="A51" s="28" t="s">
        <v>55</v>
      </c>
      <c r="B51" s="452"/>
      <c r="C51" s="71">
        <f t="shared" ref="C51:I51" si="13">SUM(C10:C50)</f>
        <v>0</v>
      </c>
      <c r="D51" s="71">
        <f t="shared" si="13"/>
        <v>0</v>
      </c>
      <c r="E51" s="71">
        <f t="shared" si="13"/>
        <v>0</v>
      </c>
      <c r="F51" s="71">
        <f t="shared" si="13"/>
        <v>0</v>
      </c>
      <c r="G51" s="71">
        <f t="shared" si="13"/>
        <v>0</v>
      </c>
      <c r="H51" s="71">
        <f t="shared" si="13"/>
        <v>0</v>
      </c>
      <c r="I51" s="71">
        <f t="shared" si="13"/>
        <v>0</v>
      </c>
      <c r="J51" s="21"/>
      <c r="K51" s="72">
        <f t="shared" ref="K51:R51" si="14">SUM(K10:K50)</f>
        <v>0</v>
      </c>
      <c r="L51" s="72">
        <f t="shared" si="14"/>
        <v>0</v>
      </c>
      <c r="M51" s="72">
        <f t="shared" si="14"/>
        <v>0</v>
      </c>
      <c r="N51" s="72">
        <f t="shared" si="14"/>
        <v>0</v>
      </c>
      <c r="O51" s="72">
        <f t="shared" si="14"/>
        <v>0</v>
      </c>
      <c r="P51" s="72">
        <f t="shared" si="14"/>
        <v>0</v>
      </c>
      <c r="Q51" s="72">
        <f t="shared" si="14"/>
        <v>0</v>
      </c>
      <c r="R51" s="72">
        <f t="shared" si="14"/>
        <v>0</v>
      </c>
      <c r="S51" s="23"/>
      <c r="T51" s="3"/>
    </row>
    <row r="52" spans="1:20" ht="18" x14ac:dyDescent="0.35">
      <c r="A52" s="28"/>
      <c r="B52" s="7"/>
      <c r="C52" s="8" t="s">
        <v>26</v>
      </c>
      <c r="D52" s="8" t="s">
        <v>26</v>
      </c>
      <c r="E52" s="8" t="s">
        <v>26</v>
      </c>
      <c r="F52" s="8" t="s">
        <v>26</v>
      </c>
      <c r="G52" s="8" t="s">
        <v>26</v>
      </c>
      <c r="H52" s="8" t="s">
        <v>26</v>
      </c>
      <c r="I52" s="8" t="s">
        <v>26</v>
      </c>
      <c r="K52" s="68"/>
      <c r="L52" s="61"/>
      <c r="M52" s="62"/>
      <c r="N52" s="62"/>
      <c r="O52" s="62"/>
      <c r="P52" s="62"/>
      <c r="Q52" s="62"/>
      <c r="R52" s="63"/>
      <c r="S52" s="63"/>
      <c r="T52" s="3"/>
    </row>
    <row r="53" spans="1:20" ht="13.8" x14ac:dyDescent="0.3">
      <c r="A53" s="29" t="s">
        <v>53</v>
      </c>
      <c r="B53" s="9"/>
      <c r="C53" s="60" t="s">
        <v>119</v>
      </c>
      <c r="D53" s="60" t="s">
        <v>119</v>
      </c>
      <c r="E53" s="60" t="s">
        <v>119</v>
      </c>
      <c r="F53" s="60"/>
      <c r="G53" s="60"/>
      <c r="H53" s="60" t="s">
        <v>119</v>
      </c>
      <c r="I53" s="60" t="s">
        <v>119</v>
      </c>
      <c r="K53" s="22"/>
      <c r="L53" s="64"/>
      <c r="M53" s="62"/>
      <c r="N53" s="62"/>
      <c r="O53" s="62"/>
      <c r="P53" s="62"/>
      <c r="Q53" s="62"/>
      <c r="R53" s="63"/>
      <c r="S53" s="63"/>
      <c r="T53" s="3"/>
    </row>
    <row r="54" spans="1:20" ht="13.8" x14ac:dyDescent="0.3">
      <c r="A54" s="29"/>
      <c r="B54" s="9"/>
      <c r="C54" s="10"/>
      <c r="D54" s="10"/>
      <c r="E54" s="10"/>
      <c r="F54" s="10"/>
      <c r="G54" s="10"/>
      <c r="H54" s="10"/>
      <c r="I54" s="10"/>
      <c r="K54" s="22"/>
      <c r="L54" s="65"/>
      <c r="M54" s="62"/>
      <c r="N54" s="62"/>
      <c r="O54" s="62"/>
      <c r="P54" s="62"/>
      <c r="Q54" s="62"/>
      <c r="R54" s="63"/>
      <c r="S54" s="63"/>
      <c r="T54" s="3"/>
    </row>
    <row r="55" spans="1:20" ht="13.8" x14ac:dyDescent="0.3">
      <c r="A55" s="29"/>
      <c r="B55" s="9"/>
      <c r="C55" s="10"/>
      <c r="D55" s="10"/>
      <c r="E55" s="10"/>
      <c r="F55" s="10"/>
      <c r="G55" s="10"/>
      <c r="H55" s="10"/>
      <c r="I55" s="10"/>
      <c r="K55" s="22"/>
      <c r="L55" s="22"/>
      <c r="M55" s="14"/>
      <c r="N55" s="14"/>
      <c r="O55" s="14"/>
      <c r="P55" s="14"/>
      <c r="Q55" s="14"/>
      <c r="R55" s="23"/>
      <c r="S55" s="23"/>
      <c r="T55" s="3"/>
    </row>
    <row r="56" spans="1:20" ht="15.75" customHeight="1" thickBot="1" x14ac:dyDescent="0.3">
      <c r="A56" s="23"/>
      <c r="B56" s="67"/>
      <c r="C56" s="67"/>
      <c r="D56" s="67"/>
      <c r="E56" s="23"/>
      <c r="F56" s="23"/>
      <c r="G56" s="23"/>
      <c r="H56" s="23"/>
      <c r="I56" s="23"/>
      <c r="K56" s="23"/>
      <c r="L56" s="30"/>
      <c r="M56" s="13"/>
      <c r="N56" s="13"/>
      <c r="O56" s="13"/>
      <c r="P56" s="13"/>
      <c r="Q56" s="13"/>
      <c r="R56" s="13"/>
      <c r="S56" s="13"/>
    </row>
    <row r="57" spans="1:20" ht="48" customHeight="1" thickBot="1" x14ac:dyDescent="0.35">
      <c r="A57" s="31" t="s">
        <v>31</v>
      </c>
      <c r="B57" s="32" t="s">
        <v>84</v>
      </c>
      <c r="C57" s="33" t="s">
        <v>85</v>
      </c>
      <c r="D57" s="33" t="s">
        <v>86</v>
      </c>
      <c r="E57" s="34" t="s">
        <v>79</v>
      </c>
      <c r="F57" s="78"/>
      <c r="G57" s="100"/>
      <c r="H57" s="100"/>
      <c r="I57" s="100"/>
      <c r="K57" s="84"/>
      <c r="L57" s="13"/>
      <c r="M57" s="13"/>
      <c r="N57" s="13"/>
      <c r="O57" s="13"/>
      <c r="P57" s="13"/>
      <c r="Q57" s="13"/>
      <c r="R57" s="13"/>
      <c r="S57" s="13"/>
    </row>
    <row r="58" spans="1:20" x14ac:dyDescent="0.25">
      <c r="A58" s="102" t="s">
        <v>7</v>
      </c>
      <c r="B58" s="93">
        <f>C51-C12-C19-C21-C20</f>
        <v>0</v>
      </c>
      <c r="C58" s="94">
        <f>C12</f>
        <v>0</v>
      </c>
      <c r="D58" s="94">
        <f>C19+C21+C20</f>
        <v>0</v>
      </c>
      <c r="E58" s="97">
        <f t="shared" ref="E58:E64" si="15">SUM(B58+C58+D58)</f>
        <v>0</v>
      </c>
      <c r="F58" s="79"/>
      <c r="G58" s="79"/>
      <c r="H58" s="89"/>
      <c r="I58" s="79"/>
      <c r="K58" s="101"/>
      <c r="L58" s="13"/>
      <c r="M58" s="13"/>
      <c r="N58" s="13"/>
      <c r="O58" s="13"/>
      <c r="P58" s="13"/>
      <c r="Q58" s="13"/>
      <c r="R58" s="13"/>
      <c r="S58" s="13"/>
    </row>
    <row r="59" spans="1:20" x14ac:dyDescent="0.25">
      <c r="A59" s="103" t="s">
        <v>8</v>
      </c>
      <c r="B59" s="84">
        <f>D51-D12-D19-D21-D20</f>
        <v>0</v>
      </c>
      <c r="C59" s="70">
        <f>D12</f>
        <v>0</v>
      </c>
      <c r="D59" s="70">
        <f>D19+D21+D20</f>
        <v>0</v>
      </c>
      <c r="E59" s="98">
        <f t="shared" si="15"/>
        <v>0</v>
      </c>
      <c r="F59" s="79"/>
      <c r="G59" s="79"/>
      <c r="H59" s="89"/>
      <c r="I59" s="79"/>
      <c r="K59" s="101"/>
      <c r="L59" s="13"/>
      <c r="M59" s="13"/>
      <c r="N59" s="13"/>
      <c r="O59" s="13"/>
      <c r="P59" s="13"/>
      <c r="Q59" s="13"/>
      <c r="R59" s="13"/>
      <c r="S59" s="13"/>
    </row>
    <row r="60" spans="1:20" x14ac:dyDescent="0.25">
      <c r="A60" s="103" t="s">
        <v>9</v>
      </c>
      <c r="B60" s="69">
        <f>E51-E12-E19-E21-E20</f>
        <v>0</v>
      </c>
      <c r="C60" s="69">
        <f>E12</f>
        <v>0</v>
      </c>
      <c r="D60" s="69">
        <f>E19+E21+E20</f>
        <v>0</v>
      </c>
      <c r="E60" s="99">
        <f t="shared" si="15"/>
        <v>0</v>
      </c>
      <c r="F60" s="79"/>
      <c r="G60" s="79"/>
      <c r="H60" s="89"/>
      <c r="I60" s="79"/>
      <c r="K60" s="101"/>
      <c r="L60" s="13"/>
      <c r="M60" s="13"/>
      <c r="N60" s="13"/>
      <c r="O60" s="13"/>
      <c r="P60" s="13"/>
      <c r="Q60" s="13"/>
      <c r="R60" s="13"/>
      <c r="S60" s="13"/>
    </row>
    <row r="61" spans="1:20" x14ac:dyDescent="0.25">
      <c r="A61" s="103" t="s">
        <v>243</v>
      </c>
      <c r="B61" s="69">
        <f>F51-F12-F19-F21-F20</f>
        <v>0</v>
      </c>
      <c r="C61" s="69">
        <f>F12</f>
        <v>0</v>
      </c>
      <c r="D61" s="69">
        <f>F19+F21+F20</f>
        <v>0</v>
      </c>
      <c r="E61" s="99">
        <f t="shared" si="15"/>
        <v>0</v>
      </c>
      <c r="F61" s="79"/>
      <c r="G61" s="79"/>
      <c r="H61" s="79"/>
      <c r="I61" s="79"/>
      <c r="K61" s="101"/>
      <c r="L61" s="13"/>
      <c r="M61" s="13"/>
      <c r="N61" s="13"/>
      <c r="O61" s="13"/>
      <c r="P61" s="13"/>
      <c r="Q61" s="13"/>
      <c r="R61" s="13"/>
      <c r="S61" s="13"/>
    </row>
    <row r="62" spans="1:20" x14ac:dyDescent="0.25">
      <c r="A62" s="103" t="s">
        <v>244</v>
      </c>
      <c r="B62" s="69">
        <f>G51-G12-G19-G21-G20</f>
        <v>0</v>
      </c>
      <c r="C62" s="69">
        <f>G12</f>
        <v>0</v>
      </c>
      <c r="D62" s="69">
        <f>G19+G21+G20</f>
        <v>0</v>
      </c>
      <c r="E62" s="99">
        <f t="shared" si="15"/>
        <v>0</v>
      </c>
      <c r="F62" s="79"/>
      <c r="G62" s="79"/>
      <c r="H62" s="79"/>
      <c r="I62" s="79"/>
      <c r="K62" s="13"/>
      <c r="L62" s="13"/>
      <c r="M62" s="13"/>
      <c r="N62" s="13"/>
      <c r="O62" s="13"/>
      <c r="P62" s="13"/>
      <c r="Q62" s="13"/>
      <c r="R62" s="13"/>
      <c r="S62" s="13"/>
    </row>
    <row r="63" spans="1:20" x14ac:dyDescent="0.25">
      <c r="A63" s="103" t="s">
        <v>240</v>
      </c>
      <c r="B63" s="69">
        <f>H51-H12-H19-H21-H20</f>
        <v>0</v>
      </c>
      <c r="C63" s="69">
        <f>H12</f>
        <v>0</v>
      </c>
      <c r="D63" s="69">
        <f>H19+H21+H20</f>
        <v>0</v>
      </c>
      <c r="E63" s="99">
        <f t="shared" si="15"/>
        <v>0</v>
      </c>
      <c r="F63" s="79"/>
      <c r="G63" s="79"/>
      <c r="H63" s="79"/>
      <c r="I63" s="79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20" x14ac:dyDescent="0.25">
      <c r="A64" s="104" t="s">
        <v>238</v>
      </c>
      <c r="B64" s="69">
        <f>I51-I12-I19-I21-I20</f>
        <v>0</v>
      </c>
      <c r="C64" s="69">
        <f>I12</f>
        <v>0</v>
      </c>
      <c r="D64" s="69">
        <f>I19+I21+I20</f>
        <v>0</v>
      </c>
      <c r="E64" s="99">
        <f t="shared" si="15"/>
        <v>0</v>
      </c>
      <c r="F64" s="79"/>
      <c r="G64" s="79"/>
      <c r="H64" s="79"/>
      <c r="I64" s="79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20" ht="13.8" thickBot="1" x14ac:dyDescent="0.3">
      <c r="A65" s="105" t="s">
        <v>14</v>
      </c>
      <c r="B65" s="95">
        <f>SUM(B58:B64)</f>
        <v>0</v>
      </c>
      <c r="C65" s="95">
        <f>SUM(C58:C64)</f>
        <v>0</v>
      </c>
      <c r="D65" s="95">
        <f>SUM(D58:D64)</f>
        <v>0</v>
      </c>
      <c r="E65" s="96">
        <f>SUM(E58:E64)</f>
        <v>0</v>
      </c>
      <c r="F65" s="80"/>
      <c r="G65" s="80"/>
      <c r="H65" s="80"/>
      <c r="I65" s="80"/>
      <c r="J65" s="13"/>
      <c r="K65" s="15"/>
      <c r="L65" s="13"/>
      <c r="M65" s="13"/>
      <c r="N65" s="13"/>
      <c r="O65" s="13"/>
      <c r="P65" s="13"/>
      <c r="Q65" s="13"/>
      <c r="R65" s="13"/>
      <c r="S65" s="13"/>
    </row>
    <row r="66" spans="1:20" ht="13.8" thickBot="1" x14ac:dyDescent="0.3">
      <c r="A66" s="21"/>
      <c r="B66" s="21"/>
      <c r="C66" s="21"/>
      <c r="D66" s="21"/>
      <c r="E66" s="23"/>
      <c r="F66" s="23"/>
      <c r="G66" s="23"/>
      <c r="H66" s="23"/>
      <c r="I66" s="23"/>
      <c r="J66" s="13"/>
      <c r="K66" s="23"/>
      <c r="L66" s="23"/>
      <c r="M66" s="23"/>
      <c r="N66" s="23"/>
      <c r="O66" s="23"/>
      <c r="P66" s="23"/>
      <c r="Q66" s="23"/>
      <c r="R66" s="23"/>
      <c r="S66" s="23"/>
      <c r="T66" s="3"/>
    </row>
    <row r="67" spans="1:20" ht="61.2" thickBot="1" x14ac:dyDescent="0.35">
      <c r="A67" s="74" t="s">
        <v>6</v>
      </c>
      <c r="B67" s="75" t="s">
        <v>83</v>
      </c>
      <c r="C67" s="76" t="s">
        <v>235</v>
      </c>
      <c r="D67" s="77" t="s">
        <v>246</v>
      </c>
      <c r="E67" s="15"/>
      <c r="F67" s="35" t="s">
        <v>11</v>
      </c>
      <c r="G67" s="50"/>
      <c r="H67" s="36" t="s">
        <v>12</v>
      </c>
      <c r="J67" s="13"/>
      <c r="M67" s="18"/>
      <c r="N67" s="18"/>
      <c r="O67" s="18"/>
      <c r="P67" s="18"/>
      <c r="Q67" s="18"/>
      <c r="R67" s="18"/>
      <c r="S67" s="2"/>
    </row>
    <row r="68" spans="1:20" ht="15.6" customHeight="1" x14ac:dyDescent="0.25">
      <c r="A68" s="106" t="s">
        <v>7</v>
      </c>
      <c r="B68" s="90"/>
      <c r="C68" s="511">
        <v>14.65</v>
      </c>
      <c r="D68" s="512">
        <f>MIN(B68,C68)</f>
        <v>14.65</v>
      </c>
      <c r="E68" s="37"/>
      <c r="F68" s="505">
        <f>E58*$D$68</f>
        <v>0</v>
      </c>
      <c r="G68" s="51"/>
      <c r="H68" s="39">
        <f t="shared" ref="H68:H74" si="16">SUM(F68)</f>
        <v>0</v>
      </c>
      <c r="J68" s="13"/>
      <c r="M68" s="23"/>
      <c r="N68" s="23"/>
      <c r="O68" s="23"/>
      <c r="P68" s="23"/>
      <c r="Q68" s="23"/>
      <c r="R68" s="23"/>
      <c r="S68" s="3"/>
    </row>
    <row r="69" spans="1:20" ht="13.8" x14ac:dyDescent="0.25">
      <c r="A69" s="477" t="s">
        <v>8</v>
      </c>
      <c r="B69" s="510"/>
      <c r="C69" s="513">
        <v>17.18</v>
      </c>
      <c r="D69" s="514">
        <f>MIN(B69,C69)</f>
        <v>17.18</v>
      </c>
      <c r="F69" s="505">
        <f>E59*$D$69</f>
        <v>0</v>
      </c>
      <c r="G69" s="51"/>
      <c r="H69" s="39">
        <f t="shared" si="16"/>
        <v>0</v>
      </c>
    </row>
    <row r="70" spans="1:20" ht="15.6" customHeight="1" x14ac:dyDescent="0.25">
      <c r="A70" s="107" t="s">
        <v>9</v>
      </c>
      <c r="B70" s="90"/>
      <c r="C70" s="85">
        <v>4.0599999999999996</v>
      </c>
      <c r="D70" s="86">
        <f t="shared" ref="D70:D74" si="17">MIN(B70,C70)</f>
        <v>4.0599999999999996</v>
      </c>
      <c r="E70" s="6"/>
      <c r="F70" s="506">
        <f>E60*$D$70</f>
        <v>0</v>
      </c>
      <c r="G70" s="51"/>
      <c r="H70" s="507">
        <f t="shared" si="16"/>
        <v>0</v>
      </c>
      <c r="M70" s="23"/>
      <c r="N70" s="23"/>
      <c r="O70" s="23"/>
      <c r="P70" s="23"/>
      <c r="Q70" s="23"/>
      <c r="R70" s="23"/>
      <c r="S70" s="3"/>
    </row>
    <row r="71" spans="1:20" ht="15.6" customHeight="1" x14ac:dyDescent="0.25">
      <c r="A71" s="108" t="s">
        <v>243</v>
      </c>
      <c r="B71" s="90"/>
      <c r="C71" s="437">
        <v>30.02</v>
      </c>
      <c r="D71" s="86">
        <f t="shared" si="17"/>
        <v>30.02</v>
      </c>
      <c r="E71" s="6"/>
      <c r="F71" s="38">
        <f>E61*$D$71</f>
        <v>0</v>
      </c>
      <c r="G71" s="51"/>
      <c r="H71" s="39">
        <f t="shared" si="16"/>
        <v>0</v>
      </c>
      <c r="M71" s="23"/>
      <c r="N71" s="23"/>
      <c r="O71" s="23"/>
      <c r="P71" s="23"/>
      <c r="Q71" s="23"/>
      <c r="R71" s="23"/>
      <c r="S71" s="3"/>
    </row>
    <row r="72" spans="1:20" ht="15.6" customHeight="1" x14ac:dyDescent="0.25">
      <c r="A72" s="108" t="s">
        <v>244</v>
      </c>
      <c r="B72" s="90"/>
      <c r="C72" s="87">
        <v>30.81</v>
      </c>
      <c r="D72" s="86">
        <f t="shared" si="17"/>
        <v>30.81</v>
      </c>
      <c r="E72" s="6"/>
      <c r="F72" s="38">
        <f>E62*$D$72</f>
        <v>0</v>
      </c>
      <c r="G72" s="51"/>
      <c r="H72" s="39">
        <f t="shared" si="16"/>
        <v>0</v>
      </c>
      <c r="M72" s="23"/>
      <c r="N72" s="23"/>
      <c r="O72" s="23"/>
      <c r="P72" s="23"/>
      <c r="Q72" s="23"/>
      <c r="R72" s="23"/>
      <c r="S72" s="3"/>
    </row>
    <row r="73" spans="1:20" ht="15.6" customHeight="1" x14ac:dyDescent="0.25">
      <c r="A73" s="109" t="s">
        <v>240</v>
      </c>
      <c r="B73" s="90"/>
      <c r="C73" s="87">
        <v>10.88</v>
      </c>
      <c r="D73" s="86">
        <f t="shared" si="17"/>
        <v>10.88</v>
      </c>
      <c r="E73" s="6"/>
      <c r="F73" s="38">
        <f>E63*$D$73</f>
        <v>0</v>
      </c>
      <c r="G73" s="51"/>
      <c r="H73" s="39">
        <f t="shared" si="16"/>
        <v>0</v>
      </c>
      <c r="M73" s="23"/>
      <c r="N73" s="23"/>
      <c r="O73" s="23"/>
      <c r="P73" s="23"/>
      <c r="Q73" s="23"/>
      <c r="R73" s="23"/>
      <c r="S73" s="3"/>
    </row>
    <row r="74" spans="1:20" ht="15.6" customHeight="1" thickBot="1" x14ac:dyDescent="0.3">
      <c r="A74" s="110" t="s">
        <v>238</v>
      </c>
      <c r="B74" s="91"/>
      <c r="C74" s="88">
        <v>144.66</v>
      </c>
      <c r="D74" s="73">
        <f t="shared" si="17"/>
        <v>144.66</v>
      </c>
      <c r="E74" s="6"/>
      <c r="F74" s="38">
        <f>E64*$D$74</f>
        <v>0</v>
      </c>
      <c r="G74" s="51"/>
      <c r="H74" s="39">
        <f t="shared" si="16"/>
        <v>0</v>
      </c>
      <c r="M74" s="23"/>
      <c r="N74" s="23"/>
      <c r="O74" s="23"/>
      <c r="P74" s="23"/>
      <c r="Q74" s="23"/>
      <c r="R74" s="23"/>
      <c r="S74" s="3"/>
    </row>
    <row r="75" spans="1:20" x14ac:dyDescent="0.25">
      <c r="A75" s="13"/>
      <c r="B75" s="13"/>
      <c r="C75" s="13"/>
      <c r="E75" s="13"/>
      <c r="F75" s="49">
        <f>SUM(F68:F74)</f>
        <v>0</v>
      </c>
      <c r="G75" s="52"/>
      <c r="H75" s="40">
        <f>SUM(H68:H74)</f>
        <v>0</v>
      </c>
      <c r="M75" s="13"/>
      <c r="N75" s="13"/>
      <c r="O75" s="13"/>
      <c r="P75" s="13"/>
      <c r="Q75" s="13"/>
      <c r="R75" s="13"/>
      <c r="S75" s="13"/>
    </row>
    <row r="76" spans="1:20" x14ac:dyDescent="0.25">
      <c r="A76" s="21" t="s">
        <v>54</v>
      </c>
      <c r="B76" s="23"/>
      <c r="C76" s="23"/>
      <c r="E76" s="41" t="s">
        <v>81</v>
      </c>
      <c r="F76" s="42">
        <f>+'FL Info'!F224+'FL Info'!F225+'FL Info'!F226+'FL Info'!F227+'FL Info'!F228+'FL Info'!F229</f>
        <v>0</v>
      </c>
      <c r="G76" s="53"/>
      <c r="H76" s="43">
        <f>SUM(F76)</f>
        <v>0</v>
      </c>
      <c r="I76" s="92"/>
      <c r="M76" s="44"/>
      <c r="N76" s="44"/>
      <c r="O76" s="44"/>
      <c r="P76" s="44"/>
      <c r="Q76" s="44"/>
      <c r="R76" s="44"/>
      <c r="S76" s="45"/>
    </row>
    <row r="77" spans="1:20" ht="13.8" thickBot="1" x14ac:dyDescent="0.3">
      <c r="A77" s="13"/>
      <c r="B77" s="13"/>
      <c r="C77" s="13"/>
      <c r="E77" s="46" t="s">
        <v>82</v>
      </c>
      <c r="F77" s="47">
        <f>SUM(F75-F76)</f>
        <v>0</v>
      </c>
      <c r="G77" s="54"/>
      <c r="H77" s="48">
        <f>SUM(F77)</f>
        <v>0</v>
      </c>
      <c r="M77" s="13"/>
      <c r="N77" s="13"/>
      <c r="O77" s="13"/>
      <c r="P77" s="13"/>
      <c r="Q77" s="13"/>
      <c r="R77" s="13"/>
      <c r="S77" s="13"/>
    </row>
    <row r="78" spans="1:20" x14ac:dyDescent="0.25">
      <c r="A78" s="13"/>
      <c r="B78" s="13"/>
      <c r="C78" s="13"/>
      <c r="D78" s="13"/>
      <c r="E78" s="13"/>
      <c r="F78" s="13"/>
      <c r="G78" s="13"/>
      <c r="H78" s="13"/>
      <c r="I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20" x14ac:dyDescent="0.25">
      <c r="A79" s="13"/>
      <c r="B79" s="13"/>
      <c r="C79" s="13"/>
      <c r="D79" s="13"/>
      <c r="E79" s="13"/>
      <c r="F79" s="13"/>
      <c r="G79" s="13"/>
      <c r="H79" s="13"/>
      <c r="I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20" x14ac:dyDescent="0.25">
      <c r="A80" s="13"/>
      <c r="B80" s="13"/>
      <c r="C80" s="13"/>
      <c r="D80" s="13"/>
      <c r="E80" s="13"/>
      <c r="F80" s="13"/>
      <c r="G80" s="13"/>
      <c r="H80" s="13"/>
      <c r="I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x14ac:dyDescent="0.25">
      <c r="A81" s="13"/>
      <c r="B81" s="13"/>
      <c r="C81" s="13"/>
      <c r="D81" s="13"/>
      <c r="E81" s="13"/>
      <c r="F81" s="13"/>
      <c r="G81" s="13"/>
      <c r="H81" s="13"/>
      <c r="I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 x14ac:dyDescent="0.25">
      <c r="A82" s="13"/>
      <c r="B82" s="13"/>
      <c r="C82" s="13"/>
      <c r="D82" s="13"/>
      <c r="E82" s="13"/>
      <c r="F82" s="13"/>
      <c r="G82" s="13"/>
      <c r="H82" s="13"/>
      <c r="I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 x14ac:dyDescent="0.25">
      <c r="A83" s="13"/>
      <c r="B83" s="13"/>
      <c r="C83" s="13"/>
      <c r="D83" s="13"/>
      <c r="E83" s="13"/>
      <c r="F83" s="13"/>
      <c r="G83" s="13"/>
      <c r="H83" s="13"/>
      <c r="I83" s="13"/>
      <c r="K83" s="13"/>
      <c r="L83" s="13"/>
      <c r="M83" s="13"/>
      <c r="N83" s="13"/>
      <c r="O83" s="13"/>
      <c r="P83" s="13"/>
      <c r="Q83" s="13"/>
      <c r="R83" s="13"/>
      <c r="S83" s="13"/>
    </row>
    <row r="103" spans="1:20" x14ac:dyDescent="0.25">
      <c r="A103" s="3"/>
      <c r="B103" s="3"/>
      <c r="C103" s="3"/>
      <c r="D103" s="3"/>
      <c r="E103" s="3"/>
      <c r="F103" s="3"/>
      <c r="G103" s="3"/>
      <c r="H103" s="3"/>
      <c r="I103" s="3"/>
      <c r="T103" s="3"/>
    </row>
  </sheetData>
  <sheetProtection algorithmName="SHA-512" hashValue="Nf61PyGFbE+csP7pzLKXEJK+nUvxRdoO+A4x1wQuI3MD3UtDODf7PB8oPF2dcNq2OXXJVlwA+seSKkDxYHPtHw==" saltValue="aYyCIW07lUdKu8WJeXf8CA==" spinCount="100000" sheet="1" objects="1" scenarios="1"/>
  <mergeCells count="43">
    <mergeCell ref="A49:B49"/>
    <mergeCell ref="A42:B42"/>
    <mergeCell ref="A43:B43"/>
    <mergeCell ref="A45:B45"/>
    <mergeCell ref="A46:B46"/>
    <mergeCell ref="A47:B47"/>
    <mergeCell ref="A37:B37"/>
    <mergeCell ref="A38:B38"/>
    <mergeCell ref="A39:B39"/>
    <mergeCell ref="A40:B40"/>
    <mergeCell ref="A48:B48"/>
    <mergeCell ref="A17:B17"/>
    <mergeCell ref="A18:B18"/>
    <mergeCell ref="A19:B19"/>
    <mergeCell ref="A23:B23"/>
    <mergeCell ref="A36:B36"/>
    <mergeCell ref="A35:B35"/>
    <mergeCell ref="A21:B21"/>
    <mergeCell ref="A22:B22"/>
    <mergeCell ref="A33:B33"/>
    <mergeCell ref="A24:B24"/>
    <mergeCell ref="A25:B25"/>
    <mergeCell ref="A26:B26"/>
    <mergeCell ref="A27:B27"/>
    <mergeCell ref="A28:B28"/>
    <mergeCell ref="A29:B29"/>
    <mergeCell ref="A31:B31"/>
    <mergeCell ref="A32:B32"/>
    <mergeCell ref="A34:B34"/>
    <mergeCell ref="K8:R8"/>
    <mergeCell ref="B1:C1"/>
    <mergeCell ref="B2:C2"/>
    <mergeCell ref="B3:C3"/>
    <mergeCell ref="B4:C4"/>
    <mergeCell ref="B5:C5"/>
    <mergeCell ref="C8:I8"/>
    <mergeCell ref="A14:B14"/>
    <mergeCell ref="A15:B15"/>
    <mergeCell ref="A16:B16"/>
    <mergeCell ref="A10:B10"/>
    <mergeCell ref="A11:B11"/>
    <mergeCell ref="A12:B12"/>
    <mergeCell ref="A13:B13"/>
  </mergeCells>
  <phoneticPr fontId="0" type="noConversion"/>
  <conditionalFormatting sqref="E58:I64">
    <cfRule type="cellIs" dxfId="1" priority="1" stopIfTrue="1" operator="lessThan">
      <formula>0</formula>
    </cfRule>
  </conditionalFormatting>
  <dataValidations xWindow="374" yWindow="700" count="1">
    <dataValidation allowBlank="1" showInputMessage="1" showErrorMessage="1" sqref="D58:D64 C59:C64" xr:uid="{00000000-0002-0000-0000-000000000000}"/>
  </dataValidations>
  <pageMargins left="0.75" right="0.75" top="0.51" bottom="0.55000000000000004" header="0.28000000000000003" footer="0.34"/>
  <pageSetup scale="35" orientation="landscape" r:id="rId1"/>
  <headerFooter alignWithMargins="0">
    <oddHeader>&amp;L&amp;8State of California - Health and Human Servies Agency&amp;R&amp;8Department of Health Care Services</oddHeader>
    <oddFooter>&amp;L&amp;8MC 6310 (04/15) &amp;F - &amp;A</oddFooter>
  </headerFooter>
  <colBreaks count="1" manualBreakCount="1">
    <brk id="17" max="99" man="1"/>
  </colBreaks>
  <ignoredErrors>
    <ignoredError sqref="H7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D279"/>
  <sheetViews>
    <sheetView zoomScale="80" zoomScaleNormal="80" workbookViewId="0">
      <selection activeCell="B6" sqref="B6:E6"/>
    </sheetView>
  </sheetViews>
  <sheetFormatPr defaultColWidth="9.21875" defaultRowHeight="13.2" x14ac:dyDescent="0.25"/>
  <cols>
    <col min="1" max="1" width="9.21875" style="155"/>
    <col min="2" max="2" width="14.21875" style="368" customWidth="1"/>
    <col min="3" max="3" width="14.21875" style="151" customWidth="1"/>
    <col min="4" max="4" width="16.77734375" style="155" customWidth="1"/>
    <col min="5" max="6" width="15.6640625" style="155" customWidth="1"/>
    <col min="7" max="7" width="14.21875" style="151" customWidth="1"/>
    <col min="8" max="10" width="14.21875" style="155" customWidth="1"/>
    <col min="11" max="11" width="14.21875" style="151" customWidth="1"/>
    <col min="12" max="13" width="14.21875" style="155" customWidth="1"/>
    <col min="14" max="14" width="14" style="155" customWidth="1"/>
    <col min="15" max="18" width="14.21875" style="152" customWidth="1"/>
    <col min="19" max="19" width="13.44140625" style="152" bestFit="1" customWidth="1"/>
    <col min="20" max="20" width="10.33203125" style="152" bestFit="1" customWidth="1"/>
    <col min="21" max="21" width="14.21875" style="152" customWidth="1"/>
    <col min="22" max="22" width="15.33203125" style="152" bestFit="1" customWidth="1"/>
    <col min="23" max="23" width="11.77734375" style="152" customWidth="1"/>
    <col min="24" max="24" width="14.33203125" style="152" customWidth="1"/>
    <col min="25" max="25" width="11.88671875" style="152" bestFit="1" customWidth="1"/>
    <col min="26" max="29" width="14.21875" style="152" customWidth="1"/>
    <col min="30" max="30" width="9.21875" style="152"/>
    <col min="31" max="16384" width="9.21875" style="153"/>
  </cols>
  <sheetData>
    <row r="1" spans="1:30" ht="13.8" x14ac:dyDescent="0.3">
      <c r="A1" s="146"/>
      <c r="B1" s="147"/>
      <c r="C1" s="148"/>
      <c r="D1" s="149"/>
      <c r="E1" s="149"/>
      <c r="F1" s="149"/>
      <c r="G1" s="150"/>
      <c r="H1" s="92"/>
      <c r="I1" s="92"/>
      <c r="J1" s="92"/>
      <c r="L1" s="92"/>
      <c r="M1" s="92"/>
      <c r="N1" s="92"/>
    </row>
    <row r="2" spans="1:30" ht="28.05" customHeight="1" x14ac:dyDescent="0.3">
      <c r="A2" s="146"/>
      <c r="B2" s="598" t="s">
        <v>93</v>
      </c>
      <c r="C2" s="598"/>
      <c r="D2" s="598"/>
      <c r="E2" s="149"/>
      <c r="F2" s="149"/>
      <c r="G2" s="154"/>
      <c r="K2" s="156"/>
      <c r="L2" s="157"/>
      <c r="M2" s="157"/>
      <c r="N2" s="157"/>
    </row>
    <row r="3" spans="1:30" ht="13.95" customHeight="1" x14ac:dyDescent="0.3">
      <c r="A3" s="146"/>
      <c r="B3" s="599" t="s">
        <v>80</v>
      </c>
      <c r="C3" s="599"/>
      <c r="D3" s="599"/>
      <c r="E3" s="149"/>
      <c r="F3" s="149"/>
      <c r="G3" s="154"/>
      <c r="H3" s="158"/>
      <c r="I3" s="158"/>
      <c r="J3" s="158"/>
      <c r="K3" s="159"/>
      <c r="L3" s="158"/>
      <c r="M3" s="158"/>
      <c r="N3" s="158"/>
    </row>
    <row r="4" spans="1:30" ht="13.95" customHeight="1" x14ac:dyDescent="0.3">
      <c r="A4" s="146"/>
      <c r="B4" s="600" t="str">
        <f>'7990NTP-NP'!J7</f>
        <v>FISCAL YEAR 21-22</v>
      </c>
      <c r="C4" s="600"/>
      <c r="D4" s="600"/>
      <c r="E4" s="149"/>
      <c r="F4" s="149"/>
      <c r="G4" s="154"/>
      <c r="H4" s="158"/>
      <c r="I4" s="158"/>
      <c r="J4" s="158"/>
      <c r="K4" s="159"/>
      <c r="L4" s="158"/>
      <c r="M4" s="158"/>
      <c r="N4" s="158"/>
    </row>
    <row r="5" spans="1:30" ht="13.8" x14ac:dyDescent="0.3">
      <c r="A5" s="146"/>
      <c r="B5" s="160"/>
      <c r="C5" s="148"/>
      <c r="D5" s="149"/>
      <c r="E5" s="149"/>
      <c r="F5" s="149"/>
      <c r="G5" s="154"/>
      <c r="H5" s="158"/>
      <c r="I5" s="158"/>
      <c r="J5" s="158"/>
      <c r="K5" s="159"/>
      <c r="L5" s="158"/>
      <c r="M5" s="158"/>
      <c r="N5" s="158"/>
    </row>
    <row r="6" spans="1:30" ht="15" customHeight="1" x14ac:dyDescent="0.25">
      <c r="A6" s="161" t="s">
        <v>34</v>
      </c>
      <c r="B6" s="596" t="str">
        <f>IF(ISBLANK('7990NTP-NP'!B1),"",'7990NTP-NP'!B1)</f>
        <v/>
      </c>
      <c r="C6" s="596"/>
      <c r="D6" s="596"/>
      <c r="E6" s="596"/>
      <c r="F6" s="162" t="s">
        <v>126</v>
      </c>
      <c r="G6" s="163" t="str">
        <f>(IF(ISBLANK('7990NTP-NP'!B3),"",'7990NTP-NP'!B3))</f>
        <v/>
      </c>
      <c r="H6" s="92"/>
      <c r="I6" s="92"/>
      <c r="J6" s="92"/>
    </row>
    <row r="7" spans="1:30" ht="17.25" customHeight="1" x14ac:dyDescent="0.25">
      <c r="A7" s="161" t="s">
        <v>125</v>
      </c>
      <c r="B7" s="597" t="str">
        <f>(IF(ISBLANK('7990NTP-NP'!B2),"",'7990NTP-NP'!B2))</f>
        <v/>
      </c>
      <c r="C7" s="597"/>
      <c r="D7" s="597"/>
      <c r="E7" s="597"/>
      <c r="F7" s="164" t="s">
        <v>124</v>
      </c>
      <c r="G7" s="163" t="str">
        <f>(IF(ISBLANK('7990NTP-NP'!B4),"",'7990NTP-NP'!B4))</f>
        <v/>
      </c>
    </row>
    <row r="8" spans="1:30" ht="13.8" x14ac:dyDescent="0.3">
      <c r="A8" s="165"/>
      <c r="B8" s="147"/>
      <c r="C8" s="166"/>
      <c r="D8" s="167"/>
      <c r="E8" s="167"/>
      <c r="F8" s="167"/>
      <c r="G8" s="168"/>
      <c r="H8" s="169"/>
      <c r="I8" s="169"/>
      <c r="J8" s="169"/>
      <c r="K8" s="170"/>
      <c r="L8" s="171"/>
      <c r="M8" s="171"/>
      <c r="N8" s="171"/>
    </row>
    <row r="9" spans="1:30" s="174" customFormat="1" x14ac:dyDescent="0.25">
      <c r="A9" s="92"/>
      <c r="B9" s="17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</row>
    <row r="10" spans="1:30" s="174" customFormat="1" x14ac:dyDescent="0.25">
      <c r="A10" s="92"/>
      <c r="B10" s="17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</row>
    <row r="11" spans="1:30" s="174" customFormat="1" x14ac:dyDescent="0.25">
      <c r="A11" s="92"/>
      <c r="B11" s="17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</row>
    <row r="12" spans="1:30" ht="13.8" x14ac:dyDescent="0.3">
      <c r="A12" s="167"/>
      <c r="B12" s="175"/>
      <c r="C12" s="166"/>
      <c r="D12" s="167"/>
      <c r="E12" s="167"/>
      <c r="F12" s="167"/>
      <c r="G12" s="168"/>
      <c r="H12" s="169"/>
      <c r="I12" s="169"/>
      <c r="J12" s="169"/>
      <c r="K12" s="170"/>
      <c r="L12" s="171"/>
      <c r="M12" s="171"/>
      <c r="N12" s="171"/>
    </row>
    <row r="13" spans="1:30" ht="16.5" customHeight="1" thickBot="1" x14ac:dyDescent="0.35">
      <c r="A13" s="165"/>
      <c r="B13" s="594" t="s">
        <v>35</v>
      </c>
      <c r="C13" s="595"/>
      <c r="D13" s="176"/>
      <c r="E13" s="176"/>
      <c r="F13" s="176"/>
      <c r="G13" s="177"/>
      <c r="H13" s="178"/>
      <c r="I13" s="178"/>
      <c r="J13" s="178"/>
      <c r="K13" s="179"/>
      <c r="L13" s="171"/>
      <c r="M13" s="171"/>
      <c r="N13" s="171"/>
      <c r="O13" s="180"/>
      <c r="P13" s="181"/>
      <c r="Q13" s="181"/>
      <c r="R13" s="181"/>
      <c r="S13" s="181"/>
      <c r="T13" s="181"/>
      <c r="U13" s="181"/>
      <c r="V13" s="181"/>
    </row>
    <row r="14" spans="1:30" ht="57.45" customHeight="1" thickBot="1" x14ac:dyDescent="0.3">
      <c r="A14" s="182" t="s">
        <v>36</v>
      </c>
      <c r="B14" s="182" t="s">
        <v>91</v>
      </c>
      <c r="C14" s="183" t="s">
        <v>29</v>
      </c>
      <c r="D14" s="184" t="s">
        <v>49</v>
      </c>
      <c r="E14" s="185" t="s">
        <v>36</v>
      </c>
      <c r="F14" s="182" t="s">
        <v>91</v>
      </c>
      <c r="G14" s="182" t="s">
        <v>90</v>
      </c>
      <c r="H14" s="182" t="s">
        <v>47</v>
      </c>
      <c r="I14" s="182" t="s">
        <v>36</v>
      </c>
      <c r="J14" s="182" t="s">
        <v>91</v>
      </c>
      <c r="K14" s="182" t="s">
        <v>28</v>
      </c>
      <c r="L14" s="182" t="s">
        <v>48</v>
      </c>
      <c r="M14" s="182" t="s">
        <v>36</v>
      </c>
      <c r="N14" s="182" t="s">
        <v>91</v>
      </c>
      <c r="O14" s="182" t="s">
        <v>236</v>
      </c>
      <c r="P14" s="182" t="s">
        <v>49</v>
      </c>
      <c r="Q14" s="182" t="s">
        <v>36</v>
      </c>
      <c r="R14" s="182" t="s">
        <v>91</v>
      </c>
      <c r="S14" s="182" t="s">
        <v>242</v>
      </c>
      <c r="T14" s="182" t="s">
        <v>49</v>
      </c>
      <c r="U14" s="182" t="s">
        <v>36</v>
      </c>
      <c r="V14" s="182" t="s">
        <v>91</v>
      </c>
      <c r="W14" s="182" t="s">
        <v>237</v>
      </c>
      <c r="X14" s="182" t="s">
        <v>49</v>
      </c>
      <c r="Y14" s="182" t="s">
        <v>36</v>
      </c>
      <c r="Z14" s="182" t="s">
        <v>91</v>
      </c>
      <c r="AA14" s="182" t="s">
        <v>238</v>
      </c>
      <c r="AB14" s="183" t="s">
        <v>49</v>
      </c>
      <c r="AC14" s="186" t="s">
        <v>142</v>
      </c>
      <c r="AD14" s="153"/>
    </row>
    <row r="15" spans="1:30" ht="26.4" hidden="1" x14ac:dyDescent="0.25">
      <c r="A15" s="187" t="s">
        <v>37</v>
      </c>
      <c r="B15" s="188" t="s">
        <v>63</v>
      </c>
      <c r="C15" s="189"/>
      <c r="D15" s="190"/>
      <c r="E15" s="191" t="s">
        <v>37</v>
      </c>
      <c r="F15" s="192" t="s">
        <v>63</v>
      </c>
      <c r="G15" s="189"/>
      <c r="H15" s="190"/>
      <c r="I15" s="191" t="s">
        <v>37</v>
      </c>
      <c r="J15" s="188" t="s">
        <v>63</v>
      </c>
      <c r="K15" s="189"/>
      <c r="L15" s="190"/>
      <c r="M15" s="191" t="s">
        <v>37</v>
      </c>
      <c r="N15" s="188" t="s">
        <v>63</v>
      </c>
      <c r="O15" s="189"/>
      <c r="P15" s="190"/>
      <c r="Q15" s="191" t="s">
        <v>37</v>
      </c>
      <c r="R15" s="188" t="s">
        <v>63</v>
      </c>
      <c r="S15" s="189"/>
      <c r="T15" s="190"/>
      <c r="U15" s="191" t="s">
        <v>37</v>
      </c>
      <c r="V15" s="188" t="s">
        <v>63</v>
      </c>
      <c r="W15" s="189"/>
      <c r="X15" s="190"/>
      <c r="Y15" s="191" t="s">
        <v>37</v>
      </c>
      <c r="Z15" s="188" t="s">
        <v>63</v>
      </c>
      <c r="AA15" s="189"/>
      <c r="AB15" s="190"/>
      <c r="AC15" s="193">
        <f>IF(C15+G15+K15+O15+S15+W15+AA15&gt;0,C15+G15+K15+O15+S15+W15+AA15,0)</f>
        <v>0</v>
      </c>
      <c r="AD15" s="153"/>
    </row>
    <row r="16" spans="1:30" ht="27" hidden="1" x14ac:dyDescent="0.3">
      <c r="A16" s="496" t="s">
        <v>38</v>
      </c>
      <c r="B16" s="497" t="s">
        <v>64</v>
      </c>
      <c r="C16" s="498"/>
      <c r="D16" s="499"/>
      <c r="E16" s="496" t="s">
        <v>38</v>
      </c>
      <c r="F16" s="500" t="s">
        <v>64</v>
      </c>
      <c r="G16" s="498"/>
      <c r="H16" s="499"/>
      <c r="I16" s="496" t="s">
        <v>38</v>
      </c>
      <c r="J16" s="497" t="s">
        <v>64</v>
      </c>
      <c r="K16" s="498"/>
      <c r="L16" s="499"/>
      <c r="M16" s="496" t="s">
        <v>38</v>
      </c>
      <c r="N16" s="497" t="s">
        <v>64</v>
      </c>
      <c r="O16" s="498"/>
      <c r="P16" s="499"/>
      <c r="Q16" s="496" t="s">
        <v>38</v>
      </c>
      <c r="R16" s="497" t="s">
        <v>64</v>
      </c>
      <c r="S16" s="498"/>
      <c r="T16" s="499"/>
      <c r="U16" s="496" t="s">
        <v>38</v>
      </c>
      <c r="V16" s="497" t="s">
        <v>64</v>
      </c>
      <c r="W16" s="498"/>
      <c r="X16" s="499"/>
      <c r="Y16" s="496" t="s">
        <v>38</v>
      </c>
      <c r="Z16" s="497" t="s">
        <v>64</v>
      </c>
      <c r="AA16" s="498"/>
      <c r="AB16" s="499"/>
      <c r="AC16" s="501">
        <f>IF(C16+G16+K16+O16+S16+W16+AA16&gt;0,C16+G16+K16+O16+S16+W16+AA16,0)</f>
        <v>0</v>
      </c>
      <c r="AD16" s="153" t="s">
        <v>580</v>
      </c>
    </row>
    <row r="17" spans="1:30" ht="14.4" hidden="1" x14ac:dyDescent="0.3">
      <c r="A17" s="194"/>
      <c r="B17" s="195"/>
      <c r="C17" s="200"/>
      <c r="D17" s="201"/>
      <c r="E17" s="202"/>
      <c r="F17" s="197"/>
      <c r="G17" s="203"/>
      <c r="H17" s="204"/>
      <c r="I17" s="202"/>
      <c r="J17" s="195"/>
      <c r="K17" s="205"/>
      <c r="L17" s="204"/>
      <c r="M17" s="202"/>
      <c r="N17" s="195"/>
      <c r="O17" s="205"/>
      <c r="P17" s="204"/>
      <c r="Q17" s="202"/>
      <c r="R17" s="195"/>
      <c r="S17" s="205"/>
      <c r="T17" s="204"/>
      <c r="U17" s="202"/>
      <c r="V17" s="195"/>
      <c r="W17" s="205"/>
      <c r="X17" s="204"/>
      <c r="Y17" s="202"/>
      <c r="Z17" s="195"/>
      <c r="AA17" s="205"/>
      <c r="AB17" s="204"/>
      <c r="AC17" s="199"/>
      <c r="AD17" s="153"/>
    </row>
    <row r="18" spans="1:30" ht="51" customHeight="1" x14ac:dyDescent="0.25">
      <c r="A18" s="194" t="s">
        <v>163</v>
      </c>
      <c r="B18" s="195" t="s">
        <v>164</v>
      </c>
      <c r="C18" s="206">
        <f>ROUNDDOWN('7990NTP-NP'!K10*0.562,2)</f>
        <v>0</v>
      </c>
      <c r="D18" s="207">
        <f>'7990NTP-NP'!C10</f>
        <v>0</v>
      </c>
      <c r="E18" s="194" t="s">
        <v>163</v>
      </c>
      <c r="F18" s="195" t="s">
        <v>408</v>
      </c>
      <c r="G18" s="196">
        <f>ROUNDDOWN('7990NTP-NP'!L10*0.562,2)</f>
        <v>0</v>
      </c>
      <c r="H18" s="208">
        <f>'7990NTP-NP'!D10</f>
        <v>0</v>
      </c>
      <c r="I18" s="209" t="s">
        <v>163</v>
      </c>
      <c r="J18" s="195" t="s">
        <v>445</v>
      </c>
      <c r="K18" s="189">
        <f>ROUNDDOWN('7990NTP-NP'!M10*0.562,2)</f>
        <v>0</v>
      </c>
      <c r="L18" s="190">
        <f>'7990NTP-NP'!E10</f>
        <v>0</v>
      </c>
      <c r="M18" s="431" t="s">
        <v>163</v>
      </c>
      <c r="N18" s="425" t="s">
        <v>482</v>
      </c>
      <c r="O18" s="196">
        <f>ROUNDDOWN('7990NTP-NP'!N10*0.562,2)</f>
        <v>0</v>
      </c>
      <c r="P18" s="210">
        <f>'7990NTP-NP'!F10</f>
        <v>0</v>
      </c>
      <c r="Q18" s="194" t="s">
        <v>163</v>
      </c>
      <c r="R18" s="195" t="s">
        <v>490</v>
      </c>
      <c r="S18" s="196">
        <f>ROUNDDOWN('7990NTP-NP'!O10*0.562,2)</f>
        <v>0</v>
      </c>
      <c r="T18" s="210">
        <f>'7990NTP-NP'!G10</f>
        <v>0</v>
      </c>
      <c r="U18" s="194" t="s">
        <v>163</v>
      </c>
      <c r="V18" s="195" t="s">
        <v>498</v>
      </c>
      <c r="W18" s="196">
        <f>ROUNDDOWN('7990NTP-NP'!P10*0.562,2)</f>
        <v>0</v>
      </c>
      <c r="X18" s="210">
        <f>'7990NTP-NP'!H10</f>
        <v>0</v>
      </c>
      <c r="Y18" s="194" t="s">
        <v>163</v>
      </c>
      <c r="Z18" s="195" t="s">
        <v>506</v>
      </c>
      <c r="AA18" s="196">
        <f>ROUNDDOWN('7990NTP-NP'!Q10*0.562,2)</f>
        <v>0</v>
      </c>
      <c r="AB18" s="210">
        <f>'7990NTP-NP'!I10</f>
        <v>0</v>
      </c>
      <c r="AC18" s="199">
        <f>IF(C18+G18+K18+O18+S18+W18+AA18&gt;0,C18+G18+K18+O18+S18+W18+AA18,0)</f>
        <v>0</v>
      </c>
      <c r="AD18" s="153"/>
    </row>
    <row r="19" spans="1:30" ht="52.8" x14ac:dyDescent="0.25">
      <c r="A19" s="194" t="s">
        <v>165</v>
      </c>
      <c r="B19" s="195" t="s">
        <v>166</v>
      </c>
      <c r="C19" s="211">
        <f>ROUNDUP('7990NTP-NP'!K10*0.438,2)</f>
        <v>0</v>
      </c>
      <c r="D19" s="212"/>
      <c r="E19" s="194" t="s">
        <v>165</v>
      </c>
      <c r="F19" s="195" t="s">
        <v>409</v>
      </c>
      <c r="G19" s="196">
        <f>ROUNDUP('7990NTP-NP'!L10*0.438,2)</f>
        <v>0</v>
      </c>
      <c r="H19" s="212"/>
      <c r="I19" s="209" t="s">
        <v>165</v>
      </c>
      <c r="J19" s="195" t="s">
        <v>446</v>
      </c>
      <c r="K19" s="196">
        <f>ROUNDUP('7990NTP-NP'!M10*0.438,2)</f>
        <v>0</v>
      </c>
      <c r="L19" s="204"/>
      <c r="M19" s="431" t="s">
        <v>165</v>
      </c>
      <c r="N19" s="425" t="s">
        <v>483</v>
      </c>
      <c r="O19" s="196">
        <f>ROUNDUP('7990NTP-NP'!N10*0.438,2)</f>
        <v>0</v>
      </c>
      <c r="P19" s="212"/>
      <c r="Q19" s="194" t="s">
        <v>165</v>
      </c>
      <c r="R19" s="195" t="s">
        <v>491</v>
      </c>
      <c r="S19" s="196">
        <f>ROUNDUP('7990NTP-NP'!O10*0.438,2)</f>
        <v>0</v>
      </c>
      <c r="T19" s="212"/>
      <c r="U19" s="194" t="s">
        <v>165</v>
      </c>
      <c r="V19" s="195" t="s">
        <v>499</v>
      </c>
      <c r="W19" s="196">
        <f>ROUNDUP('7990NTP-NP'!P10*0.438,2)</f>
        <v>0</v>
      </c>
      <c r="X19" s="212"/>
      <c r="Y19" s="194" t="s">
        <v>165</v>
      </c>
      <c r="Z19" s="195" t="s">
        <v>507</v>
      </c>
      <c r="AA19" s="196">
        <f>ROUNDUP('7990NTP-NP'!Q10*0.438,2)</f>
        <v>0</v>
      </c>
      <c r="AB19" s="212"/>
      <c r="AC19" s="199">
        <f>IF(C19+G19+K19+O19+S19+W19+AA19&gt;0,C19+G19+K19+O19+S19+W19+AA19,0)</f>
        <v>0</v>
      </c>
      <c r="AD19" s="153"/>
    </row>
    <row r="20" spans="1:30" ht="14.4" x14ac:dyDescent="0.3">
      <c r="A20" s="194"/>
      <c r="B20" s="195"/>
      <c r="C20" s="213"/>
      <c r="D20" s="212"/>
      <c r="E20" s="194"/>
      <c r="F20" s="195"/>
      <c r="G20" s="200"/>
      <c r="H20" s="212"/>
      <c r="I20" s="209"/>
      <c r="J20" s="195"/>
      <c r="K20" s="200"/>
      <c r="L20" s="204"/>
      <c r="M20" s="431"/>
      <c r="N20" s="425"/>
      <c r="O20" s="200"/>
      <c r="P20" s="212"/>
      <c r="Q20" s="194"/>
      <c r="R20" s="195"/>
      <c r="S20" s="200"/>
      <c r="T20" s="212"/>
      <c r="U20" s="194"/>
      <c r="V20" s="195"/>
      <c r="W20" s="200"/>
      <c r="X20" s="212"/>
      <c r="Y20" s="194"/>
      <c r="Z20" s="195"/>
      <c r="AA20" s="200"/>
      <c r="AB20" s="212"/>
      <c r="AC20" s="199"/>
      <c r="AD20" s="153"/>
    </row>
    <row r="21" spans="1:30" ht="39.6" x14ac:dyDescent="0.25">
      <c r="A21" s="118" t="s">
        <v>104</v>
      </c>
      <c r="B21" s="113" t="s">
        <v>105</v>
      </c>
      <c r="C21" s="211">
        <f>SUM('7990NTP-NP'!K11*1)</f>
        <v>0</v>
      </c>
      <c r="D21" s="207">
        <f>'7990NTP-NP'!C11</f>
        <v>0</v>
      </c>
      <c r="E21" s="134" t="s">
        <v>104</v>
      </c>
      <c r="F21" s="113" t="s">
        <v>410</v>
      </c>
      <c r="G21" s="196">
        <f>SUM('7990NTP-NP'!L11*1)</f>
        <v>0</v>
      </c>
      <c r="H21" s="214">
        <f>'7990NTP-NP'!D11</f>
        <v>0</v>
      </c>
      <c r="I21" s="127" t="s">
        <v>104</v>
      </c>
      <c r="J21" s="113" t="s">
        <v>447</v>
      </c>
      <c r="K21" s="196">
        <f>SUM('7990NTP-NP'!M11*1)</f>
        <v>0</v>
      </c>
      <c r="L21" s="190">
        <f>'7990NTP-NP'!E11</f>
        <v>0</v>
      </c>
      <c r="M21" s="432" t="s">
        <v>280</v>
      </c>
      <c r="N21" s="421" t="s">
        <v>281</v>
      </c>
      <c r="O21" s="196">
        <f>SUM('7990NTP-NP'!N11*1)</f>
        <v>0</v>
      </c>
      <c r="P21" s="214">
        <f>'7990NTP-NP'!F11</f>
        <v>0</v>
      </c>
      <c r="Q21" s="432" t="s">
        <v>280</v>
      </c>
      <c r="R21" s="421" t="s">
        <v>281</v>
      </c>
      <c r="S21" s="196">
        <f>SUM('7990NTP-NP'!O11*1)</f>
        <v>0</v>
      </c>
      <c r="T21" s="214">
        <f>'7990NTP-NP'!G11</f>
        <v>0</v>
      </c>
      <c r="U21" s="432" t="s">
        <v>280</v>
      </c>
      <c r="V21" s="421" t="s">
        <v>281</v>
      </c>
      <c r="W21" s="196">
        <f>SUM('7990NTP-NP'!P11*1)</f>
        <v>0</v>
      </c>
      <c r="X21" s="214">
        <f>'7990NTP-NP'!H11</f>
        <v>0</v>
      </c>
      <c r="Y21" s="432" t="s">
        <v>280</v>
      </c>
      <c r="Z21" s="421" t="s">
        <v>281</v>
      </c>
      <c r="AA21" s="196">
        <f>SUM('7990NTP-NP'!Q11*1)</f>
        <v>0</v>
      </c>
      <c r="AB21" s="214">
        <f>'7990NTP-NP'!I11</f>
        <v>0</v>
      </c>
      <c r="AC21" s="199">
        <f>IF(C21+G21+K21+O21+S21+W21+AA21&gt;0,C21+G21+K21+O21+S21+W21+AA21,0)</f>
        <v>0</v>
      </c>
      <c r="AD21" s="153"/>
    </row>
    <row r="22" spans="1:30" ht="14.4" x14ac:dyDescent="0.3">
      <c r="A22" s="194"/>
      <c r="B22" s="195"/>
      <c r="C22" s="213"/>
      <c r="D22" s="212"/>
      <c r="E22" s="194"/>
      <c r="F22" s="195"/>
      <c r="G22" s="200"/>
      <c r="H22" s="212"/>
      <c r="I22" s="209"/>
      <c r="J22" s="195"/>
      <c r="K22" s="200"/>
      <c r="L22" s="215"/>
      <c r="M22" s="431"/>
      <c r="N22" s="425"/>
      <c r="O22" s="200"/>
      <c r="P22" s="212"/>
      <c r="Q22" s="194"/>
      <c r="R22" s="195"/>
      <c r="S22" s="200"/>
      <c r="T22" s="212"/>
      <c r="U22" s="194"/>
      <c r="V22" s="195"/>
      <c r="W22" s="200"/>
      <c r="X22" s="212"/>
      <c r="Y22" s="194"/>
      <c r="Z22" s="195"/>
      <c r="AA22" s="200"/>
      <c r="AB22" s="212"/>
      <c r="AC22" s="199"/>
      <c r="AD22" s="153"/>
    </row>
    <row r="23" spans="1:30" ht="39.6" x14ac:dyDescent="0.25">
      <c r="A23" s="194" t="s">
        <v>39</v>
      </c>
      <c r="B23" s="195" t="s">
        <v>65</v>
      </c>
      <c r="C23" s="211">
        <f>SUM('7990NTP-NP'!K13*1)</f>
        <v>0</v>
      </c>
      <c r="D23" s="207">
        <f>'7990NTP-NP'!C13</f>
        <v>0</v>
      </c>
      <c r="E23" s="194" t="s">
        <v>39</v>
      </c>
      <c r="F23" s="195" t="s">
        <v>65</v>
      </c>
      <c r="G23" s="196">
        <f>SUM('7990NTP-NP'!L13*1)</f>
        <v>0</v>
      </c>
      <c r="H23" s="207">
        <f>'7990NTP-NP'!D13</f>
        <v>0</v>
      </c>
      <c r="I23" s="209" t="s">
        <v>39</v>
      </c>
      <c r="J23" s="195" t="s">
        <v>65</v>
      </c>
      <c r="K23" s="196">
        <f>SUM('7990NTP-NP'!M13*1)</f>
        <v>0</v>
      </c>
      <c r="L23" s="216">
        <f>'7990NTP-NP'!E13</f>
        <v>0</v>
      </c>
      <c r="M23" s="431" t="s">
        <v>39</v>
      </c>
      <c r="N23" s="425" t="s">
        <v>65</v>
      </c>
      <c r="O23" s="196">
        <f>SUM('7990NTP-NP'!N13*1)</f>
        <v>0</v>
      </c>
      <c r="P23" s="207">
        <f>'7990NTP-NP'!I13</f>
        <v>0</v>
      </c>
      <c r="Q23" s="194" t="s">
        <v>39</v>
      </c>
      <c r="R23" s="195" t="s">
        <v>65</v>
      </c>
      <c r="S23" s="196">
        <f>SUM('7990NTP-NP'!O13*1)</f>
        <v>0</v>
      </c>
      <c r="T23" s="207">
        <f>'7990NTP-NP'!G13</f>
        <v>0</v>
      </c>
      <c r="U23" s="194" t="s">
        <v>39</v>
      </c>
      <c r="V23" s="195" t="s">
        <v>65</v>
      </c>
      <c r="W23" s="196">
        <f>SUM('7990NTP-NP'!P13*1)</f>
        <v>0</v>
      </c>
      <c r="X23" s="207">
        <f>'7990NTP-NP'!H13</f>
        <v>0</v>
      </c>
      <c r="Y23" s="194" t="s">
        <v>39</v>
      </c>
      <c r="Z23" s="195" t="s">
        <v>65</v>
      </c>
      <c r="AA23" s="196">
        <f>SUM('7990NTP-NP'!Q13*1)</f>
        <v>0</v>
      </c>
      <c r="AB23" s="207">
        <f>'7990NTP-NP'!I13</f>
        <v>0</v>
      </c>
      <c r="AC23" s="199">
        <f>IF(C23+G23+K23+O23+S23+W23+AA23&gt;0,C23+G23+K23+O23+S23+W23+AA23,0)</f>
        <v>0</v>
      </c>
      <c r="AD23" s="153"/>
    </row>
    <row r="24" spans="1:30" ht="14.4" x14ac:dyDescent="0.3">
      <c r="A24" s="194"/>
      <c r="B24" s="195"/>
      <c r="C24" s="213"/>
      <c r="D24" s="212"/>
      <c r="E24" s="194"/>
      <c r="F24" s="195"/>
      <c r="G24" s="200"/>
      <c r="H24" s="212"/>
      <c r="I24" s="209"/>
      <c r="J24" s="195"/>
      <c r="K24" s="200"/>
      <c r="L24" s="204"/>
      <c r="M24" s="431"/>
      <c r="N24" s="425"/>
      <c r="O24" s="200"/>
      <c r="P24" s="212"/>
      <c r="Q24" s="194"/>
      <c r="R24" s="195"/>
      <c r="S24" s="200"/>
      <c r="T24" s="212"/>
      <c r="U24" s="194"/>
      <c r="V24" s="195"/>
      <c r="W24" s="200"/>
      <c r="X24" s="212"/>
      <c r="Y24" s="194"/>
      <c r="Z24" s="195"/>
      <c r="AA24" s="200"/>
      <c r="AB24" s="212"/>
      <c r="AC24" s="199"/>
      <c r="AD24" s="153"/>
    </row>
    <row r="25" spans="1:30" ht="52.8" x14ac:dyDescent="0.25">
      <c r="A25" s="118" t="s">
        <v>106</v>
      </c>
      <c r="B25" s="113" t="s">
        <v>97</v>
      </c>
      <c r="C25" s="211">
        <f>SUM('7990NTP-NP'!K14*1)</f>
        <v>0</v>
      </c>
      <c r="D25" s="207">
        <f>'7990NTP-NP'!C14</f>
        <v>0</v>
      </c>
      <c r="E25" s="134" t="s">
        <v>106</v>
      </c>
      <c r="F25" s="113" t="s">
        <v>411</v>
      </c>
      <c r="G25" s="196">
        <f>SUM('7990NTP-NP'!L14*1)</f>
        <v>0</v>
      </c>
      <c r="H25" s="207">
        <f>'7990NTP-NP'!D14</f>
        <v>0</v>
      </c>
      <c r="I25" s="127" t="s">
        <v>106</v>
      </c>
      <c r="J25" s="113" t="s">
        <v>448</v>
      </c>
      <c r="K25" s="196">
        <f>SUM('7990NTP-NP'!M14*1)</f>
        <v>0</v>
      </c>
      <c r="L25" s="216">
        <f>'7990NTP-NP'!E14</f>
        <v>0</v>
      </c>
      <c r="M25" s="433" t="s">
        <v>282</v>
      </c>
      <c r="N25" s="422" t="s">
        <v>283</v>
      </c>
      <c r="O25" s="196">
        <f>SUM('7990NTP-NP'!N14*1)</f>
        <v>0</v>
      </c>
      <c r="P25" s="207">
        <f>'7990NTP-NP'!F14</f>
        <v>0</v>
      </c>
      <c r="Q25" s="433" t="s">
        <v>282</v>
      </c>
      <c r="R25" s="422" t="s">
        <v>283</v>
      </c>
      <c r="S25" s="196">
        <f>SUM('7990NTP-NP'!O14*1)</f>
        <v>0</v>
      </c>
      <c r="T25" s="207">
        <f>'7990NTP-NP'!G14</f>
        <v>0</v>
      </c>
      <c r="U25" s="433" t="s">
        <v>282</v>
      </c>
      <c r="V25" s="422" t="s">
        <v>283</v>
      </c>
      <c r="W25" s="196">
        <f>SUM('7990NTP-NP'!P14*1)</f>
        <v>0</v>
      </c>
      <c r="X25" s="207">
        <f>'7990NTP-NP'!H14</f>
        <v>0</v>
      </c>
      <c r="Y25" s="433" t="s">
        <v>282</v>
      </c>
      <c r="Z25" s="422" t="s">
        <v>283</v>
      </c>
      <c r="AA25" s="196">
        <f>SUM('7990NTP-NP'!Q14*1)</f>
        <v>0</v>
      </c>
      <c r="AB25" s="207">
        <f>'7990NTP-NP'!I14</f>
        <v>0</v>
      </c>
      <c r="AC25" s="199">
        <f>IF(C25+G25+K25+O25+S25+W25+AA25&gt;0,C25+G25+K25+O25+S25+W25+AA25,0)</f>
        <v>0</v>
      </c>
      <c r="AD25" s="153"/>
    </row>
    <row r="26" spans="1:30" ht="14.4" x14ac:dyDescent="0.3">
      <c r="A26" s="194"/>
      <c r="B26" s="195"/>
      <c r="C26" s="213"/>
      <c r="D26" s="212"/>
      <c r="E26" s="194"/>
      <c r="F26" s="195"/>
      <c r="G26" s="200"/>
      <c r="H26" s="212"/>
      <c r="I26" s="209"/>
      <c r="J26" s="195"/>
      <c r="K26" s="200"/>
      <c r="L26" s="215"/>
      <c r="M26" s="431"/>
      <c r="N26" s="425"/>
      <c r="O26" s="200"/>
      <c r="P26" s="212"/>
      <c r="Q26" s="194"/>
      <c r="R26" s="195"/>
      <c r="S26" s="200"/>
      <c r="T26" s="212"/>
      <c r="U26" s="194"/>
      <c r="V26" s="195"/>
      <c r="W26" s="200"/>
      <c r="X26" s="212"/>
      <c r="Y26" s="194"/>
      <c r="Z26" s="195"/>
      <c r="AA26" s="200"/>
      <c r="AB26" s="212"/>
      <c r="AC26" s="199"/>
      <c r="AD26" s="153"/>
    </row>
    <row r="27" spans="1:30" ht="39.6" x14ac:dyDescent="0.25">
      <c r="A27" s="119" t="s">
        <v>376</v>
      </c>
      <c r="B27" s="113" t="s">
        <v>374</v>
      </c>
      <c r="C27" s="211">
        <f>ROUNDDOWN('7990NTP-NP'!K15-('7990NTP-NP'!K15*0.3066),2)</f>
        <v>0</v>
      </c>
      <c r="D27" s="207">
        <f>'7990NTP-NP'!C15</f>
        <v>0</v>
      </c>
      <c r="E27" s="135" t="s">
        <v>376</v>
      </c>
      <c r="F27" s="113" t="s">
        <v>374</v>
      </c>
      <c r="G27" s="196">
        <f>ROUNDDOWN('7990NTP-NP'!L15-('7990NTP-NP'!L15*0.3066),2)</f>
        <v>0</v>
      </c>
      <c r="H27" s="207">
        <f>'7990NTP-NP'!D14</f>
        <v>0</v>
      </c>
      <c r="I27" s="128" t="s">
        <v>376</v>
      </c>
      <c r="J27" s="113" t="s">
        <v>374</v>
      </c>
      <c r="K27" s="196">
        <f>ROUNDDOWN('7990NTP-NP'!M15-('7990NTP-NP'!M15*0.3066),2)</f>
        <v>0</v>
      </c>
      <c r="L27" s="216">
        <f>'7990NTP-NP'!E14</f>
        <v>0</v>
      </c>
      <c r="M27" s="434" t="s">
        <v>376</v>
      </c>
      <c r="N27" s="422" t="s">
        <v>374</v>
      </c>
      <c r="O27" s="196">
        <f>ROUNDDOWN('7990NTP-NP'!N15-('7990NTP-NP'!N15*0.3066),2)</f>
        <v>0</v>
      </c>
      <c r="P27" s="207">
        <f>'7990NTP-NP'!F14</f>
        <v>0</v>
      </c>
      <c r="Q27" s="135" t="s">
        <v>376</v>
      </c>
      <c r="R27" s="113" t="s">
        <v>374</v>
      </c>
      <c r="S27" s="196">
        <f>ROUNDDOWN('7990NTP-NP'!O15-('7990NTP-NP'!O15*0.3066),2)</f>
        <v>0</v>
      </c>
      <c r="T27" s="207">
        <f>'7990NTP-NP'!G14</f>
        <v>0</v>
      </c>
      <c r="U27" s="135" t="s">
        <v>376</v>
      </c>
      <c r="V27" s="113" t="s">
        <v>374</v>
      </c>
      <c r="W27" s="196">
        <f>ROUNDDOWN('7990NTP-NP'!P15-('7990NTP-NP'!P15*0.3066),2)</f>
        <v>0</v>
      </c>
      <c r="X27" s="207">
        <f>'7990NTP-NP'!H14</f>
        <v>0</v>
      </c>
      <c r="Y27" s="135" t="s">
        <v>376</v>
      </c>
      <c r="Z27" s="113" t="s">
        <v>374</v>
      </c>
      <c r="AA27" s="196">
        <f>ROUNDDOWN('7990NTP-NP'!Q15-('7990NTP-NP'!Q15*0.3066),2)</f>
        <v>0</v>
      </c>
      <c r="AB27" s="207">
        <f>'7990NTP-NP'!I14</f>
        <v>0</v>
      </c>
      <c r="AC27" s="199">
        <f>IF(C27+G27+K27+O27+S27+W27+AA27&gt;0,C27+G27+K27+O27+S27+W27+AA27,0)</f>
        <v>0</v>
      </c>
      <c r="AD27" s="153"/>
    </row>
    <row r="28" spans="1:30" ht="39.6" x14ac:dyDescent="0.25">
      <c r="A28" s="119" t="s">
        <v>377</v>
      </c>
      <c r="B28" s="113" t="s">
        <v>375</v>
      </c>
      <c r="C28" s="211">
        <f>ROUNDUP('7990NTP-NP'!K15*0.3066,2)</f>
        <v>0</v>
      </c>
      <c r="D28" s="212"/>
      <c r="E28" s="135" t="s">
        <v>377</v>
      </c>
      <c r="F28" s="113" t="s">
        <v>375</v>
      </c>
      <c r="G28" s="196">
        <f>ROUNDUP('7990NTP-NP'!L15*0.3066,2)</f>
        <v>0</v>
      </c>
      <c r="H28" s="212"/>
      <c r="I28" s="128" t="s">
        <v>377</v>
      </c>
      <c r="J28" s="113" t="s">
        <v>375</v>
      </c>
      <c r="K28" s="196">
        <f>ROUNDUP('7990NTP-NP'!M15*0.3066,2)</f>
        <v>0</v>
      </c>
      <c r="L28" s="204"/>
      <c r="M28" s="434" t="s">
        <v>377</v>
      </c>
      <c r="N28" s="422" t="s">
        <v>375</v>
      </c>
      <c r="O28" s="196">
        <f>ROUNDUP('7990NTP-NP'!N15*0.3066,2)</f>
        <v>0</v>
      </c>
      <c r="P28" s="212"/>
      <c r="Q28" s="135" t="s">
        <v>377</v>
      </c>
      <c r="R28" s="113" t="s">
        <v>375</v>
      </c>
      <c r="S28" s="196">
        <f>ROUNDUP('7990NTP-NP'!O15*0.3066,2)</f>
        <v>0</v>
      </c>
      <c r="T28" s="212"/>
      <c r="U28" s="135" t="s">
        <v>377</v>
      </c>
      <c r="V28" s="113" t="s">
        <v>375</v>
      </c>
      <c r="W28" s="196">
        <f>ROUNDUP('7990NTP-NP'!P15*0.3066,2)</f>
        <v>0</v>
      </c>
      <c r="X28" s="212"/>
      <c r="Y28" s="135" t="s">
        <v>377</v>
      </c>
      <c r="Z28" s="113" t="s">
        <v>375</v>
      </c>
      <c r="AA28" s="196">
        <f>ROUNDUP('7990NTP-NP'!Q15*0.3066,2)</f>
        <v>0</v>
      </c>
      <c r="AB28" s="212"/>
      <c r="AC28" s="199">
        <f>IF(C28+G28+K28+O28+S28+W28+AA28&gt;0,C28+G28+K28+O28+S28+W28+AA28,0)</f>
        <v>0</v>
      </c>
      <c r="AD28" s="153"/>
    </row>
    <row r="29" spans="1:30" ht="14.4" x14ac:dyDescent="0.3">
      <c r="A29" s="194"/>
      <c r="B29" s="195"/>
      <c r="C29" s="213"/>
      <c r="D29" s="212"/>
      <c r="E29" s="194"/>
      <c r="F29" s="195"/>
      <c r="G29" s="200"/>
      <c r="H29" s="212"/>
      <c r="I29" s="209"/>
      <c r="J29" s="195"/>
      <c r="K29" s="200"/>
      <c r="L29" s="204"/>
      <c r="M29" s="431"/>
      <c r="N29" s="425"/>
      <c r="O29" s="200"/>
      <c r="P29" s="212"/>
      <c r="Q29" s="194"/>
      <c r="R29" s="195"/>
      <c r="S29" s="200"/>
      <c r="T29" s="212"/>
      <c r="U29" s="194"/>
      <c r="V29" s="195"/>
      <c r="W29" s="200"/>
      <c r="X29" s="212"/>
      <c r="Y29" s="194"/>
      <c r="Z29" s="195"/>
      <c r="AA29" s="200"/>
      <c r="AB29" s="212"/>
      <c r="AC29" s="199"/>
      <c r="AD29" s="153"/>
    </row>
    <row r="30" spans="1:30" ht="64.05" customHeight="1" x14ac:dyDescent="0.25">
      <c r="A30" s="120" t="s">
        <v>380</v>
      </c>
      <c r="B30" s="114" t="s">
        <v>378</v>
      </c>
      <c r="C30" s="211">
        <f>ROUNDDOWN('7990NTP-NP'!K16-('7990NTP-NP'!K16*0.3066),2)</f>
        <v>0</v>
      </c>
      <c r="D30" s="207">
        <f>'7990NTP-NP'!C16</f>
        <v>0</v>
      </c>
      <c r="E30" s="136" t="s">
        <v>380</v>
      </c>
      <c r="F30" s="114" t="s">
        <v>378</v>
      </c>
      <c r="G30" s="196">
        <f>ROUNDDOWN('7990NTP-NP'!L16-('7990NTP-NP'!L16*0.3066),2)</f>
        <v>0</v>
      </c>
      <c r="H30" s="207">
        <f>'7990NTP-NP'!D16</f>
        <v>0</v>
      </c>
      <c r="I30" s="129" t="s">
        <v>380</v>
      </c>
      <c r="J30" s="114" t="s">
        <v>378</v>
      </c>
      <c r="K30" s="196">
        <f>ROUNDDOWN('7990NTP-NP'!M16-('7990NTP-NP'!M16*0.3066),2)</f>
        <v>0</v>
      </c>
      <c r="L30" s="216">
        <f>'7990NTP-NP'!E16</f>
        <v>0</v>
      </c>
      <c r="M30" s="434" t="s">
        <v>380</v>
      </c>
      <c r="N30" s="422" t="s">
        <v>378</v>
      </c>
      <c r="O30" s="196">
        <f>ROUNDDOWN('7990NTP-NP'!N16-('7990NTP-NP'!N16*0.3066),2)</f>
        <v>0</v>
      </c>
      <c r="P30" s="207">
        <f>'7990NTP-NP'!F16</f>
        <v>0</v>
      </c>
      <c r="Q30" s="136" t="s">
        <v>380</v>
      </c>
      <c r="R30" s="114" t="s">
        <v>378</v>
      </c>
      <c r="S30" s="196">
        <f>ROUNDDOWN('7990NTP-NP'!O16-('7990NTP-NP'!O16*0.3066),2)</f>
        <v>0</v>
      </c>
      <c r="T30" s="207">
        <f>'7990NTP-NP'!G16</f>
        <v>0</v>
      </c>
      <c r="U30" s="136" t="s">
        <v>380</v>
      </c>
      <c r="V30" s="114" t="s">
        <v>378</v>
      </c>
      <c r="W30" s="196">
        <f>ROUNDDOWN('7990NTP-NP'!P16-('7990NTP-NP'!P16*0.3066),2)</f>
        <v>0</v>
      </c>
      <c r="X30" s="207">
        <f>'7990NTP-NP'!H16</f>
        <v>0</v>
      </c>
      <c r="Y30" s="136" t="s">
        <v>380</v>
      </c>
      <c r="Z30" s="114" t="s">
        <v>378</v>
      </c>
      <c r="AA30" s="196">
        <f>ROUNDDOWN('7990NTP-NP'!Q16-('7990NTP-NP'!Q16*0.3066),2)</f>
        <v>0</v>
      </c>
      <c r="AB30" s="207">
        <f>'7990NTP-NP'!I16</f>
        <v>0</v>
      </c>
      <c r="AC30" s="199">
        <f>IF(C30+G30+K30+O30+S30+W30+AA30&gt;0,C30+G30+K30+O30+S30+W30+AA30,0)</f>
        <v>0</v>
      </c>
      <c r="AD30" s="153"/>
    </row>
    <row r="31" spans="1:30" ht="92.4" x14ac:dyDescent="0.25">
      <c r="A31" s="120" t="s">
        <v>381</v>
      </c>
      <c r="B31" s="114" t="s">
        <v>379</v>
      </c>
      <c r="C31" s="211">
        <f>ROUNDUP('7990NTP-NP'!K16*0.3066,2)</f>
        <v>0</v>
      </c>
      <c r="D31" s="212"/>
      <c r="E31" s="136" t="s">
        <v>381</v>
      </c>
      <c r="F31" s="114" t="s">
        <v>379</v>
      </c>
      <c r="G31" s="196">
        <f>ROUNDUP('7990NTP-NP'!L16*0.3066,2)</f>
        <v>0</v>
      </c>
      <c r="H31" s="212"/>
      <c r="I31" s="129" t="s">
        <v>381</v>
      </c>
      <c r="J31" s="114" t="s">
        <v>379</v>
      </c>
      <c r="K31" s="196">
        <f>ROUNDUP('7990NTP-NP'!M16*0.3066,2)</f>
        <v>0</v>
      </c>
      <c r="L31" s="204"/>
      <c r="M31" s="434" t="s">
        <v>381</v>
      </c>
      <c r="N31" s="422" t="s">
        <v>379</v>
      </c>
      <c r="O31" s="196">
        <f>ROUNDUP('7990NTP-NP'!N16*0.3066,2)</f>
        <v>0</v>
      </c>
      <c r="P31" s="212"/>
      <c r="Q31" s="136" t="s">
        <v>381</v>
      </c>
      <c r="R31" s="114" t="s">
        <v>379</v>
      </c>
      <c r="S31" s="196">
        <f>ROUNDUP('7990NTP-NP'!O16*0.3066,2)</f>
        <v>0</v>
      </c>
      <c r="T31" s="212"/>
      <c r="U31" s="136" t="s">
        <v>381</v>
      </c>
      <c r="V31" s="114" t="s">
        <v>379</v>
      </c>
      <c r="W31" s="196">
        <f>ROUNDUP('7990NTP-NP'!P16*0.3066,2)</f>
        <v>0</v>
      </c>
      <c r="X31" s="212"/>
      <c r="Y31" s="136" t="s">
        <v>381</v>
      </c>
      <c r="Z31" s="114" t="s">
        <v>379</v>
      </c>
      <c r="AA31" s="196">
        <f>ROUNDUP('7990NTP-NP'!Q16*0.3066,2)</f>
        <v>0</v>
      </c>
      <c r="AB31" s="212"/>
      <c r="AC31" s="199">
        <f>IF(C31+G31+K31+O31+S31+W31+AA31&gt;0,C31+G31+K31+O31+S31+W31+AA31,0)</f>
        <v>0</v>
      </c>
      <c r="AD31" s="153"/>
    </row>
    <row r="32" spans="1:30" ht="14.4" x14ac:dyDescent="0.3">
      <c r="A32" s="194"/>
      <c r="B32" s="195"/>
      <c r="C32" s="213"/>
      <c r="D32" s="212"/>
      <c r="E32" s="194"/>
      <c r="F32" s="195"/>
      <c r="G32" s="200"/>
      <c r="H32" s="212"/>
      <c r="I32" s="209"/>
      <c r="J32" s="195"/>
      <c r="K32" s="200"/>
      <c r="L32" s="204"/>
      <c r="M32" s="431"/>
      <c r="N32" s="425"/>
      <c r="O32" s="200"/>
      <c r="P32" s="212"/>
      <c r="Q32" s="194"/>
      <c r="R32" s="195"/>
      <c r="S32" s="200"/>
      <c r="T32" s="212"/>
      <c r="U32" s="194"/>
      <c r="V32" s="195"/>
      <c r="W32" s="200"/>
      <c r="X32" s="212"/>
      <c r="Y32" s="194"/>
      <c r="Z32" s="195"/>
      <c r="AA32" s="200"/>
      <c r="AB32" s="212"/>
      <c r="AC32" s="199"/>
      <c r="AD32" s="153"/>
    </row>
    <row r="33" spans="1:30" ht="64.95" customHeight="1" x14ac:dyDescent="0.25">
      <c r="A33" s="121" t="s">
        <v>167</v>
      </c>
      <c r="B33" s="115" t="s">
        <v>168</v>
      </c>
      <c r="C33" s="211">
        <f>ROUNDDOWN('7990NTP-NP'!K17-('7990NTP-NP'!K17*0.3066),2)</f>
        <v>0</v>
      </c>
      <c r="D33" s="207">
        <f>'7990NTP-NP'!C17</f>
        <v>0</v>
      </c>
      <c r="E33" s="137" t="s">
        <v>167</v>
      </c>
      <c r="F33" s="138" t="s">
        <v>412</v>
      </c>
      <c r="G33" s="196">
        <f>ROUNDDOWN('7990NTP-NP'!L17-('7990NTP-NP'!L17*0.3066),2)</f>
        <v>0</v>
      </c>
      <c r="H33" s="207">
        <f>'7990NTP-NP'!D17</f>
        <v>0</v>
      </c>
      <c r="I33" s="130" t="s">
        <v>167</v>
      </c>
      <c r="J33" s="115" t="s">
        <v>449</v>
      </c>
      <c r="K33" s="196">
        <f>ROUNDDOWN('7990NTP-NP'!M17-('7990NTP-NP'!M17*0.3066),2)</f>
        <v>0</v>
      </c>
      <c r="L33" s="216">
        <f>'7990NTP-NP'!E17</f>
        <v>0</v>
      </c>
      <c r="M33" s="434" t="s">
        <v>167</v>
      </c>
      <c r="N33" s="422" t="s">
        <v>484</v>
      </c>
      <c r="O33" s="196">
        <f>ROUNDDOWN('7990NTP-NP'!N17-('7990NTP-NP'!N17*0.3066),2)</f>
        <v>0</v>
      </c>
      <c r="P33" s="207">
        <f>'7990NTP-NP'!F17</f>
        <v>0</v>
      </c>
      <c r="Q33" s="137" t="s">
        <v>167</v>
      </c>
      <c r="R33" s="138" t="s">
        <v>492</v>
      </c>
      <c r="S33" s="196">
        <f>ROUNDDOWN('7990NTP-NP'!O17-('7990NTP-NP'!O17*0.3066),2)</f>
        <v>0</v>
      </c>
      <c r="T33" s="207">
        <f>'7990NTP-NP'!G17</f>
        <v>0</v>
      </c>
      <c r="U33" s="137" t="s">
        <v>167</v>
      </c>
      <c r="V33" s="138" t="s">
        <v>500</v>
      </c>
      <c r="W33" s="196">
        <f>ROUNDDOWN('7990NTP-NP'!P17-('7990NTP-NP'!P17*0.3066),2)</f>
        <v>0</v>
      </c>
      <c r="X33" s="207">
        <f>'7990NTP-NP'!H17</f>
        <v>0</v>
      </c>
      <c r="Y33" s="137" t="s">
        <v>167</v>
      </c>
      <c r="Z33" s="138" t="s">
        <v>508</v>
      </c>
      <c r="AA33" s="196">
        <f>ROUNDDOWN('7990NTP-NP'!Q17-('7990NTP-NP'!Q17*0.3066),2)</f>
        <v>0</v>
      </c>
      <c r="AB33" s="207">
        <f>'7990NTP-NP'!I17</f>
        <v>0</v>
      </c>
      <c r="AC33" s="199">
        <f>IF(C33+G33+K33+O33+S33+W33+AA33&gt;0,C33+G33+K33+O33+S33+W33+AA33,0)</f>
        <v>0</v>
      </c>
      <c r="AD33" s="153"/>
    </row>
    <row r="34" spans="1:30" ht="52.8" x14ac:dyDescent="0.25">
      <c r="A34" s="121" t="s">
        <v>169</v>
      </c>
      <c r="B34" s="115" t="s">
        <v>170</v>
      </c>
      <c r="C34" s="211">
        <f>ROUNDUP('7990NTP-NP'!K17*0.3066,2)</f>
        <v>0</v>
      </c>
      <c r="D34" s="212"/>
      <c r="E34" s="137" t="s">
        <v>169</v>
      </c>
      <c r="F34" s="138" t="s">
        <v>413</v>
      </c>
      <c r="G34" s="196">
        <f>ROUNDUP('7990NTP-NP'!L17*0.3066,2)</f>
        <v>0</v>
      </c>
      <c r="H34" s="212"/>
      <c r="I34" s="130" t="s">
        <v>169</v>
      </c>
      <c r="J34" s="115" t="s">
        <v>450</v>
      </c>
      <c r="K34" s="196">
        <f>ROUNDUP('7990NTP-NP'!M17*0.3066,2)</f>
        <v>0</v>
      </c>
      <c r="L34" s="204"/>
      <c r="M34" s="434" t="s">
        <v>169</v>
      </c>
      <c r="N34" s="422" t="s">
        <v>485</v>
      </c>
      <c r="O34" s="196">
        <f>ROUNDUP('7990NTP-NP'!N17*0.3066,2)</f>
        <v>0</v>
      </c>
      <c r="P34" s="212"/>
      <c r="Q34" s="137" t="s">
        <v>169</v>
      </c>
      <c r="R34" s="138" t="s">
        <v>493</v>
      </c>
      <c r="S34" s="196">
        <f>ROUNDUP('7990NTP-NP'!O17*0.3066,2)</f>
        <v>0</v>
      </c>
      <c r="T34" s="212"/>
      <c r="U34" s="137" t="s">
        <v>169</v>
      </c>
      <c r="V34" s="138" t="s">
        <v>501</v>
      </c>
      <c r="W34" s="196">
        <f>ROUNDUP('7990NTP-NP'!P17*0.3066,2)</f>
        <v>0</v>
      </c>
      <c r="X34" s="212"/>
      <c r="Y34" s="137" t="s">
        <v>169</v>
      </c>
      <c r="Z34" s="138" t="s">
        <v>509</v>
      </c>
      <c r="AA34" s="196">
        <f>ROUNDUP('7990NTP-NP'!Q17*0.3066,2)</f>
        <v>0</v>
      </c>
      <c r="AB34" s="212"/>
      <c r="AC34" s="199">
        <f>IF(C34+G34+K34+O34+S34+W34+AA34&gt;0,C34+G34+K34+O34+S34+W34+AA34,0)</f>
        <v>0</v>
      </c>
      <c r="AD34" s="153"/>
    </row>
    <row r="35" spans="1:30" ht="14.4" x14ac:dyDescent="0.3">
      <c r="A35" s="194"/>
      <c r="B35" s="195"/>
      <c r="C35" s="213"/>
      <c r="D35" s="212"/>
      <c r="E35" s="194"/>
      <c r="F35" s="195"/>
      <c r="G35" s="200"/>
      <c r="H35" s="212"/>
      <c r="I35" s="209"/>
      <c r="J35" s="195"/>
      <c r="K35" s="200"/>
      <c r="L35" s="204"/>
      <c r="M35" s="431"/>
      <c r="N35" s="425"/>
      <c r="O35" s="200"/>
      <c r="P35" s="212"/>
      <c r="Q35" s="194"/>
      <c r="R35" s="195"/>
      <c r="S35" s="200"/>
      <c r="T35" s="212"/>
      <c r="U35" s="194"/>
      <c r="V35" s="195"/>
      <c r="W35" s="200"/>
      <c r="X35" s="212"/>
      <c r="Y35" s="194"/>
      <c r="Z35" s="195"/>
      <c r="AA35" s="200"/>
      <c r="AB35" s="212"/>
      <c r="AC35" s="199"/>
      <c r="AD35" s="153"/>
    </row>
    <row r="36" spans="1:30" ht="52.8" x14ac:dyDescent="0.25">
      <c r="A36" s="122" t="s">
        <v>383</v>
      </c>
      <c r="B36" s="116" t="s">
        <v>361</v>
      </c>
      <c r="C36" s="211">
        <f>ROUNDDOWN('7990NTP-NP'!K18-('7990NTP-NP'!K18*0.3066),2)</f>
        <v>0</v>
      </c>
      <c r="D36" s="207">
        <f>'7990NTP-NP'!C18</f>
        <v>0</v>
      </c>
      <c r="E36" s="139" t="s">
        <v>383</v>
      </c>
      <c r="F36" s="140" t="s">
        <v>361</v>
      </c>
      <c r="G36" s="196">
        <f>ROUNDDOWN('7990NTP-NP'!L18-('7990NTP-NP'!L18*0.3066),2)</f>
        <v>0</v>
      </c>
      <c r="H36" s="207">
        <f>'7990NTP-NP'!D18</f>
        <v>0</v>
      </c>
      <c r="I36" s="131" t="s">
        <v>383</v>
      </c>
      <c r="J36" s="116" t="s">
        <v>361</v>
      </c>
      <c r="K36" s="196">
        <f>ROUNDDOWN('7990NTP-NP'!M18-('7990NTP-NP'!M18*0.3066),2)</f>
        <v>0</v>
      </c>
      <c r="L36" s="216">
        <f>'7990NTP-NP'!E18</f>
        <v>0</v>
      </c>
      <c r="M36" s="433" t="s">
        <v>383</v>
      </c>
      <c r="N36" s="426" t="s">
        <v>361</v>
      </c>
      <c r="O36" s="196">
        <f>ROUNDDOWN('7990NTP-NP'!N18-('7990NTP-NP'!N18*0.3066),2)</f>
        <v>0</v>
      </c>
      <c r="P36" s="207">
        <f>'7990NTP-NP'!F18</f>
        <v>0</v>
      </c>
      <c r="Q36" s="139" t="s">
        <v>383</v>
      </c>
      <c r="R36" s="140" t="s">
        <v>361</v>
      </c>
      <c r="S36" s="196">
        <f>ROUNDDOWN('7990NTP-NP'!O18-('7990NTP-NP'!O18*0.3066),2)</f>
        <v>0</v>
      </c>
      <c r="T36" s="207">
        <f>'7990NTP-NP'!G18</f>
        <v>0</v>
      </c>
      <c r="U36" s="139" t="s">
        <v>383</v>
      </c>
      <c r="V36" s="140" t="s">
        <v>361</v>
      </c>
      <c r="W36" s="196">
        <f>ROUNDDOWN('7990NTP-NP'!P18-('7990NTP-NP'!P18*0.3066),2)</f>
        <v>0</v>
      </c>
      <c r="X36" s="207">
        <f>'7990NTP-NP'!H18</f>
        <v>0</v>
      </c>
      <c r="Y36" s="139" t="s">
        <v>383</v>
      </c>
      <c r="Z36" s="140" t="s">
        <v>361</v>
      </c>
      <c r="AA36" s="196">
        <f>ROUNDDOWN('7990NTP-NP'!Q18-('7990NTP-NP'!Q18*0.3066),2)</f>
        <v>0</v>
      </c>
      <c r="AB36" s="207">
        <f>'7990NTP-NP'!I18</f>
        <v>0</v>
      </c>
      <c r="AC36" s="199">
        <f>IF(C36+G36+K36+O36+S36+W36+AA36&gt;0,C36+G36+K36+O36+S36+W36+AA36,0)</f>
        <v>0</v>
      </c>
      <c r="AD36" s="153"/>
    </row>
    <row r="37" spans="1:30" ht="52.8" x14ac:dyDescent="0.25">
      <c r="A37" s="122" t="s">
        <v>384</v>
      </c>
      <c r="B37" s="116" t="s">
        <v>382</v>
      </c>
      <c r="C37" s="211">
        <f>ROUNDUP('7990NTP-NP'!K18*0.3066,2)</f>
        <v>0</v>
      </c>
      <c r="D37" s="217"/>
      <c r="E37" s="139" t="s">
        <v>384</v>
      </c>
      <c r="F37" s="140" t="s">
        <v>382</v>
      </c>
      <c r="G37" s="196">
        <f>ROUNDUP('7990NTP-NP'!L18*0.3066,2)</f>
        <v>0</v>
      </c>
      <c r="H37" s="217"/>
      <c r="I37" s="131" t="s">
        <v>384</v>
      </c>
      <c r="J37" s="116" t="s">
        <v>382</v>
      </c>
      <c r="K37" s="196">
        <f>ROUNDUP('7990NTP-NP'!M18*0.3066,2)</f>
        <v>0</v>
      </c>
      <c r="L37" s="198"/>
      <c r="M37" s="433" t="s">
        <v>384</v>
      </c>
      <c r="N37" s="426" t="s">
        <v>382</v>
      </c>
      <c r="O37" s="196">
        <f>ROUNDUP('7990NTP-NP'!N18*0.3066,2)</f>
        <v>0</v>
      </c>
      <c r="P37" s="217"/>
      <c r="Q37" s="139" t="s">
        <v>384</v>
      </c>
      <c r="R37" s="140" t="s">
        <v>382</v>
      </c>
      <c r="S37" s="196">
        <f>ROUNDUP('7990NTP-NP'!O18*0.3066,2)</f>
        <v>0</v>
      </c>
      <c r="T37" s="217"/>
      <c r="U37" s="139" t="s">
        <v>384</v>
      </c>
      <c r="V37" s="140" t="s">
        <v>382</v>
      </c>
      <c r="W37" s="196">
        <f>ROUNDUP('7990NTP-NP'!P18*0.3066,2)</f>
        <v>0</v>
      </c>
      <c r="X37" s="217"/>
      <c r="Y37" s="139" t="s">
        <v>384</v>
      </c>
      <c r="Z37" s="140" t="s">
        <v>382</v>
      </c>
      <c r="AA37" s="196">
        <f>ROUNDUP('7990NTP-NP'!Q18*0.3066,2)</f>
        <v>0</v>
      </c>
      <c r="AB37" s="217"/>
      <c r="AC37" s="199">
        <f>IF(C37+G37+K37+O37+S37+W37+AA37&gt;0,C37+G37+K37+O37+S37+W37+AA37,0)</f>
        <v>0</v>
      </c>
      <c r="AD37" s="153"/>
    </row>
    <row r="38" spans="1:30" ht="14.4" x14ac:dyDescent="0.3">
      <c r="A38" s="194"/>
      <c r="B38" s="195"/>
      <c r="C38" s="213"/>
      <c r="D38" s="212"/>
      <c r="E38" s="194"/>
      <c r="F38" s="195"/>
      <c r="G38" s="200"/>
      <c r="H38" s="212"/>
      <c r="I38" s="209"/>
      <c r="J38" s="195"/>
      <c r="K38" s="200"/>
      <c r="L38" s="204"/>
      <c r="M38" s="431"/>
      <c r="N38" s="425"/>
      <c r="O38" s="200"/>
      <c r="P38" s="212"/>
      <c r="Q38" s="194"/>
      <c r="R38" s="195"/>
      <c r="S38" s="200"/>
      <c r="T38" s="212"/>
      <c r="U38" s="194"/>
      <c r="V38" s="195"/>
      <c r="W38" s="200"/>
      <c r="X38" s="212"/>
      <c r="Y38" s="194"/>
      <c r="Z38" s="195"/>
      <c r="AA38" s="200"/>
      <c r="AB38" s="212"/>
      <c r="AC38" s="199"/>
      <c r="AD38" s="153"/>
    </row>
    <row r="39" spans="1:30" ht="79.2" x14ac:dyDescent="0.25">
      <c r="A39" s="119" t="s">
        <v>387</v>
      </c>
      <c r="B39" s="115" t="s">
        <v>385</v>
      </c>
      <c r="C39" s="211">
        <f>ROUNDDOWN('7990NTP-NP'!K22-('7990NTP-NP'!K22*0.3066),2)</f>
        <v>0</v>
      </c>
      <c r="D39" s="207">
        <f>'7990NTP-NP'!C22</f>
        <v>0</v>
      </c>
      <c r="E39" s="135" t="s">
        <v>387</v>
      </c>
      <c r="F39" s="138" t="s">
        <v>385</v>
      </c>
      <c r="G39" s="196">
        <f>ROUNDDOWN('7990NTP-NP'!L22-('7990NTP-NP'!L22*0.3066),2)</f>
        <v>0</v>
      </c>
      <c r="H39" s="207">
        <f>'7990NTP-NP'!D22</f>
        <v>0</v>
      </c>
      <c r="I39" s="128" t="s">
        <v>387</v>
      </c>
      <c r="J39" s="115" t="s">
        <v>385</v>
      </c>
      <c r="K39" s="196">
        <f>ROUNDDOWN('7990NTP-NP'!M22-('7990NTP-NP'!M22*0.3066),2)</f>
        <v>0</v>
      </c>
      <c r="L39" s="216">
        <f>'7990NTP-NP'!E22</f>
        <v>0</v>
      </c>
      <c r="M39" s="434" t="s">
        <v>387</v>
      </c>
      <c r="N39" s="422" t="s">
        <v>385</v>
      </c>
      <c r="O39" s="196">
        <f>ROUNDDOWN('7990NTP-NP'!N22-('7990NTP-NP'!N22*0.3066),2)</f>
        <v>0</v>
      </c>
      <c r="P39" s="207">
        <f>'7990NTP-NP'!F22</f>
        <v>0</v>
      </c>
      <c r="Q39" s="135" t="s">
        <v>387</v>
      </c>
      <c r="R39" s="138" t="s">
        <v>385</v>
      </c>
      <c r="S39" s="196">
        <f>ROUNDDOWN('7990NTP-NP'!O22-('7990NTP-NP'!O22*0.3066),2)</f>
        <v>0</v>
      </c>
      <c r="T39" s="207">
        <f>'7990NTP-NP'!G22</f>
        <v>0</v>
      </c>
      <c r="U39" s="135" t="s">
        <v>387</v>
      </c>
      <c r="V39" s="138" t="s">
        <v>385</v>
      </c>
      <c r="W39" s="196">
        <f>ROUNDDOWN('7990NTP-NP'!P22-('7990NTP-NP'!P22*0.3066),2)</f>
        <v>0</v>
      </c>
      <c r="X39" s="207">
        <f>'7990NTP-NP'!H22</f>
        <v>0</v>
      </c>
      <c r="Y39" s="135" t="s">
        <v>387</v>
      </c>
      <c r="Z39" s="138" t="s">
        <v>385</v>
      </c>
      <c r="AA39" s="196">
        <f>ROUNDDOWN('7990NTP-NP'!Q22-('7990NTP-NP'!Q22*0.3066),2)</f>
        <v>0</v>
      </c>
      <c r="AB39" s="207">
        <f>'7990NTP-NP'!I22</f>
        <v>0</v>
      </c>
      <c r="AC39" s="199">
        <f>IF(C39+G39+K39+O39+S39+W39+AA39&gt;0,C39+G39+K39+O39+S39+W39+AA39,0)</f>
        <v>0</v>
      </c>
      <c r="AD39" s="153"/>
    </row>
    <row r="40" spans="1:30" ht="79.2" x14ac:dyDescent="0.25">
      <c r="A40" s="119" t="s">
        <v>388</v>
      </c>
      <c r="B40" s="115" t="s">
        <v>386</v>
      </c>
      <c r="C40" s="211">
        <f>ROUNDUP('7990NTP-NP'!K22*0.3066,2)</f>
        <v>0</v>
      </c>
      <c r="D40" s="217"/>
      <c r="E40" s="135" t="s">
        <v>388</v>
      </c>
      <c r="F40" s="138" t="s">
        <v>386</v>
      </c>
      <c r="G40" s="196">
        <f>ROUNDUP('7990NTP-NP'!L22*0.3066,2)</f>
        <v>0</v>
      </c>
      <c r="H40" s="217"/>
      <c r="I40" s="128" t="s">
        <v>388</v>
      </c>
      <c r="J40" s="115" t="s">
        <v>386</v>
      </c>
      <c r="K40" s="196">
        <f>ROUNDUP('7990NTP-NP'!M22*0.3066,2)</f>
        <v>0</v>
      </c>
      <c r="L40" s="198"/>
      <c r="M40" s="434" t="s">
        <v>388</v>
      </c>
      <c r="N40" s="422" t="s">
        <v>386</v>
      </c>
      <c r="O40" s="196">
        <f>ROUNDUP('7990NTP-NP'!N22*0.3066,2)</f>
        <v>0</v>
      </c>
      <c r="P40" s="217"/>
      <c r="Q40" s="135" t="s">
        <v>388</v>
      </c>
      <c r="R40" s="138" t="s">
        <v>386</v>
      </c>
      <c r="S40" s="196">
        <f>ROUNDUP('7990NTP-NP'!O22*0.3066,2)</f>
        <v>0</v>
      </c>
      <c r="T40" s="217"/>
      <c r="U40" s="135" t="s">
        <v>388</v>
      </c>
      <c r="V40" s="138" t="s">
        <v>386</v>
      </c>
      <c r="W40" s="196">
        <f>ROUNDUP('7990NTP-NP'!P22*0.3066,2)</f>
        <v>0</v>
      </c>
      <c r="X40" s="217"/>
      <c r="Y40" s="135" t="s">
        <v>388</v>
      </c>
      <c r="Z40" s="138" t="s">
        <v>386</v>
      </c>
      <c r="AA40" s="196">
        <f>ROUNDUP('7990NTP-NP'!Q22*0.3066,2)</f>
        <v>0</v>
      </c>
      <c r="AB40" s="217"/>
      <c r="AC40" s="199">
        <f>IF(C40+G40+K40+O40+S40+W40+AA40&gt;0,C40+G40+K40+O40+S40+W40+AA40,0)</f>
        <v>0</v>
      </c>
      <c r="AD40" s="153"/>
    </row>
    <row r="41" spans="1:30" ht="14.4" x14ac:dyDescent="0.3">
      <c r="A41" s="194"/>
      <c r="B41" s="195"/>
      <c r="C41" s="213"/>
      <c r="D41" s="212"/>
      <c r="E41" s="194"/>
      <c r="F41" s="195"/>
      <c r="G41" s="200"/>
      <c r="H41" s="212"/>
      <c r="I41" s="209"/>
      <c r="J41" s="195"/>
      <c r="K41" s="200"/>
      <c r="L41" s="204"/>
      <c r="M41" s="431"/>
      <c r="N41" s="425"/>
      <c r="O41" s="200"/>
      <c r="P41" s="212"/>
      <c r="Q41" s="194"/>
      <c r="R41" s="195"/>
      <c r="S41" s="200"/>
      <c r="T41" s="212"/>
      <c r="U41" s="194"/>
      <c r="V41" s="195"/>
      <c r="W41" s="200"/>
      <c r="X41" s="212"/>
      <c r="Y41" s="194"/>
      <c r="Z41" s="195"/>
      <c r="AA41" s="200"/>
      <c r="AB41" s="212"/>
      <c r="AC41" s="199"/>
      <c r="AD41" s="153"/>
    </row>
    <row r="42" spans="1:30" ht="52.8" x14ac:dyDescent="0.25">
      <c r="A42" s="118" t="s">
        <v>107</v>
      </c>
      <c r="B42" s="115" t="s">
        <v>108</v>
      </c>
      <c r="C42" s="211">
        <f>SUM('7990NTP-NP'!K23*1)</f>
        <v>0</v>
      </c>
      <c r="D42" s="207">
        <f>'7990NTP-NP'!C23</f>
        <v>0</v>
      </c>
      <c r="E42" s="134" t="s">
        <v>107</v>
      </c>
      <c r="F42" s="138" t="s">
        <v>414</v>
      </c>
      <c r="G42" s="196">
        <f>SUM('7990NTP-NP'!L23*1)</f>
        <v>0</v>
      </c>
      <c r="H42" s="207">
        <f>'7990NTP-NP'!D23</f>
        <v>0</v>
      </c>
      <c r="I42" s="127" t="s">
        <v>107</v>
      </c>
      <c r="J42" s="115" t="s">
        <v>451</v>
      </c>
      <c r="K42" s="196">
        <f>SUM('7990NTP-NP'!M23*1)</f>
        <v>0</v>
      </c>
      <c r="L42" s="216">
        <f>'7990NTP-NP'!E23</f>
        <v>0</v>
      </c>
      <c r="M42" s="433" t="s">
        <v>284</v>
      </c>
      <c r="N42" s="426" t="s">
        <v>285</v>
      </c>
      <c r="O42" s="196">
        <f>SUM('7990NTP-NP'!N23*1)</f>
        <v>0</v>
      </c>
      <c r="P42" s="207">
        <f>'7990NTP-NP'!F23</f>
        <v>0</v>
      </c>
      <c r="Q42" s="433" t="s">
        <v>284</v>
      </c>
      <c r="R42" s="426" t="s">
        <v>285</v>
      </c>
      <c r="S42" s="196">
        <f>SUM('7990NTP-NP'!O23*1)</f>
        <v>0</v>
      </c>
      <c r="T42" s="207">
        <f>'7990NTP-NP'!G23</f>
        <v>0</v>
      </c>
      <c r="U42" s="433" t="s">
        <v>284</v>
      </c>
      <c r="V42" s="426" t="s">
        <v>285</v>
      </c>
      <c r="W42" s="196">
        <f>SUM('7990NTP-NP'!P23*1)</f>
        <v>0</v>
      </c>
      <c r="X42" s="207">
        <f>'7990NTP-NP'!H23</f>
        <v>0</v>
      </c>
      <c r="Y42" s="433" t="s">
        <v>284</v>
      </c>
      <c r="Z42" s="426" t="s">
        <v>285</v>
      </c>
      <c r="AA42" s="196">
        <f>SUM('7990NTP-NP'!Q23*1)</f>
        <v>0</v>
      </c>
      <c r="AB42" s="207">
        <f>'7990NTP-NP'!I23</f>
        <v>0</v>
      </c>
      <c r="AC42" s="199">
        <f>IF(C42+G42+K42+O42+S42+W42+AA42&gt;0,C42+G42+K42+O42+S42+W42+AA42,0)</f>
        <v>0</v>
      </c>
      <c r="AD42" s="153"/>
    </row>
    <row r="43" spans="1:30" ht="14.4" x14ac:dyDescent="0.3">
      <c r="A43" s="194"/>
      <c r="B43" s="195"/>
      <c r="C43" s="213"/>
      <c r="D43" s="212"/>
      <c r="E43" s="194"/>
      <c r="F43" s="195"/>
      <c r="G43" s="200"/>
      <c r="H43" s="212"/>
      <c r="I43" s="209"/>
      <c r="J43" s="195"/>
      <c r="K43" s="200"/>
      <c r="L43" s="215"/>
      <c r="M43" s="431"/>
      <c r="N43" s="425"/>
      <c r="O43" s="200"/>
      <c r="P43" s="212"/>
      <c r="Q43" s="194"/>
      <c r="R43" s="195"/>
      <c r="S43" s="200"/>
      <c r="T43" s="212"/>
      <c r="U43" s="194"/>
      <c r="V43" s="195"/>
      <c r="W43" s="200"/>
      <c r="X43" s="212"/>
      <c r="Y43" s="194"/>
      <c r="Z43" s="195"/>
      <c r="AA43" s="200"/>
      <c r="AB43" s="212"/>
      <c r="AC43" s="199"/>
      <c r="AD43" s="153"/>
    </row>
    <row r="44" spans="1:30" ht="52.8" x14ac:dyDescent="0.25">
      <c r="A44" s="121" t="s">
        <v>207</v>
      </c>
      <c r="B44" s="115" t="s">
        <v>308</v>
      </c>
      <c r="C44" s="211">
        <f>ROUNDDOWN('7990NTP-NP'!K24-('7990NTP-NP'!K24*0.1),2)</f>
        <v>0</v>
      </c>
      <c r="D44" s="207">
        <f>'7990NTP-NP'!C24</f>
        <v>0</v>
      </c>
      <c r="E44" s="137" t="s">
        <v>207</v>
      </c>
      <c r="F44" s="138" t="s">
        <v>308</v>
      </c>
      <c r="G44" s="196">
        <f>ROUNDDOWN('7990NTP-NP'!L24-('7990NTP-NP'!L24*0.1),2)</f>
        <v>0</v>
      </c>
      <c r="H44" s="207">
        <f>'7990NTP-NP'!D24</f>
        <v>0</v>
      </c>
      <c r="I44" s="130" t="s">
        <v>207</v>
      </c>
      <c r="J44" s="115" t="s">
        <v>308</v>
      </c>
      <c r="K44" s="196">
        <f>ROUNDDOWN('7990NTP-NP'!M24-('7990NTP-NP'!M24*0.1),2)</f>
        <v>0</v>
      </c>
      <c r="L44" s="216">
        <f>'7990NTP-NP'!E24</f>
        <v>0</v>
      </c>
      <c r="M44" s="435" t="s">
        <v>306</v>
      </c>
      <c r="N44" s="422" t="s">
        <v>308</v>
      </c>
      <c r="O44" s="196">
        <f>ROUNDDOWN('7990NTP-NP'!N24-('7990NTP-NP'!N24*0.1),2)</f>
        <v>0</v>
      </c>
      <c r="P44" s="207">
        <f>'7990NTP-NP'!F24</f>
        <v>0</v>
      </c>
      <c r="Q44" s="435" t="s">
        <v>306</v>
      </c>
      <c r="R44" s="422" t="s">
        <v>308</v>
      </c>
      <c r="S44" s="196">
        <f>ROUNDDOWN('7990NTP-NP'!O24-('7990NTP-NP'!O24*0.1),2)</f>
        <v>0</v>
      </c>
      <c r="T44" s="207">
        <f>'7990NTP-NP'!G24</f>
        <v>0</v>
      </c>
      <c r="U44" s="435" t="s">
        <v>306</v>
      </c>
      <c r="V44" s="422" t="s">
        <v>308</v>
      </c>
      <c r="W44" s="196">
        <f>ROUNDDOWN('7990NTP-NP'!P24-('7990NTP-NP'!P24*0.1),2)</f>
        <v>0</v>
      </c>
      <c r="X44" s="207">
        <f>'7990NTP-NP'!H24</f>
        <v>0</v>
      </c>
      <c r="Y44" s="435" t="s">
        <v>306</v>
      </c>
      <c r="Z44" s="422" t="s">
        <v>308</v>
      </c>
      <c r="AA44" s="196">
        <f>ROUNDDOWN('7990NTP-NP'!Q24-('7990NTP-NP'!Q24*0.1),2)</f>
        <v>0</v>
      </c>
      <c r="AB44" s="207">
        <f>'7990NTP-NP'!I24</f>
        <v>0</v>
      </c>
      <c r="AC44" s="199">
        <f>IF(C44+G44+K44+O44+S44+W44+AA44&gt;0,C44+G44+K44+O44+S44+W44+AA44,0)</f>
        <v>0</v>
      </c>
      <c r="AD44" s="153"/>
    </row>
    <row r="45" spans="1:30" ht="52.8" x14ac:dyDescent="0.25">
      <c r="A45" s="121" t="s">
        <v>209</v>
      </c>
      <c r="B45" s="115" t="s">
        <v>389</v>
      </c>
      <c r="C45" s="211">
        <f>ROUNDUP('7990NTP-NP'!K24*0.1,2)</f>
        <v>0</v>
      </c>
      <c r="D45" s="217"/>
      <c r="E45" s="137" t="s">
        <v>209</v>
      </c>
      <c r="F45" s="138" t="s">
        <v>389</v>
      </c>
      <c r="G45" s="196">
        <f>ROUNDUP('7990NTP-NP'!L24*0.1,2)</f>
        <v>0</v>
      </c>
      <c r="H45" s="217"/>
      <c r="I45" s="130" t="s">
        <v>209</v>
      </c>
      <c r="J45" s="115" t="s">
        <v>389</v>
      </c>
      <c r="K45" s="196">
        <f>ROUNDUP('7990NTP-NP'!M24*0.1,2)</f>
        <v>0</v>
      </c>
      <c r="L45" s="198"/>
      <c r="M45" s="435" t="s">
        <v>307</v>
      </c>
      <c r="N45" s="422" t="s">
        <v>347</v>
      </c>
      <c r="O45" s="196">
        <f>ROUNDUP('7990NTP-NP'!N24*0.1,2)</f>
        <v>0</v>
      </c>
      <c r="P45" s="217"/>
      <c r="Q45" s="435" t="s">
        <v>307</v>
      </c>
      <c r="R45" s="422" t="s">
        <v>347</v>
      </c>
      <c r="S45" s="196">
        <f>ROUNDUP('7990NTP-NP'!O24*0.1,2)</f>
        <v>0</v>
      </c>
      <c r="T45" s="217"/>
      <c r="U45" s="435" t="s">
        <v>307</v>
      </c>
      <c r="V45" s="422" t="s">
        <v>347</v>
      </c>
      <c r="W45" s="196">
        <f>ROUNDUP('7990NTP-NP'!P24*0.1,2)</f>
        <v>0</v>
      </c>
      <c r="X45" s="217"/>
      <c r="Y45" s="435" t="s">
        <v>307</v>
      </c>
      <c r="Z45" s="422" t="s">
        <v>347</v>
      </c>
      <c r="AA45" s="196">
        <f>ROUNDUP('7990NTP-NP'!Q24*0.1,2)</f>
        <v>0</v>
      </c>
      <c r="AB45" s="217"/>
      <c r="AC45" s="199">
        <f>IF(C45+G45+K45+O45+S45+W45+AA45&gt;0,C45+G45+K45+O45+S45+W45+AA45,0)</f>
        <v>0</v>
      </c>
      <c r="AD45" s="153"/>
    </row>
    <row r="46" spans="1:30" ht="14.4" x14ac:dyDescent="0.3">
      <c r="A46" s="194"/>
      <c r="B46" s="218"/>
      <c r="C46" s="213"/>
      <c r="D46" s="212"/>
      <c r="E46" s="194"/>
      <c r="F46" s="218"/>
      <c r="G46" s="200"/>
      <c r="H46" s="212"/>
      <c r="I46" s="209"/>
      <c r="J46" s="218"/>
      <c r="K46" s="200"/>
      <c r="L46" s="204"/>
      <c r="M46" s="431"/>
      <c r="N46" s="427"/>
      <c r="O46" s="200"/>
      <c r="P46" s="212"/>
      <c r="Q46" s="194"/>
      <c r="R46" s="218"/>
      <c r="S46" s="200"/>
      <c r="T46" s="212"/>
      <c r="U46" s="194"/>
      <c r="V46" s="218"/>
      <c r="W46" s="200"/>
      <c r="X46" s="212"/>
      <c r="Y46" s="194"/>
      <c r="Z46" s="218"/>
      <c r="AA46" s="200"/>
      <c r="AB46" s="212"/>
      <c r="AC46" s="199"/>
      <c r="AD46" s="153"/>
    </row>
    <row r="47" spans="1:30" ht="66.45" customHeight="1" x14ac:dyDescent="0.25">
      <c r="A47" s="121" t="s">
        <v>199</v>
      </c>
      <c r="B47" s="115" t="s">
        <v>200</v>
      </c>
      <c r="C47" s="211">
        <f>ROUNDDOWN('7990NTP-NP'!K25-('7990NTP-NP'!K25*0.438),2)</f>
        <v>0</v>
      </c>
      <c r="D47" s="207">
        <f>'7990NTP-NP'!C25</f>
        <v>0</v>
      </c>
      <c r="E47" s="137" t="s">
        <v>199</v>
      </c>
      <c r="F47" s="138" t="s">
        <v>415</v>
      </c>
      <c r="G47" s="196">
        <f>ROUNDDOWN('7990NTP-NP'!L25-('7990NTP-NP'!L25*0.438),2)</f>
        <v>0</v>
      </c>
      <c r="H47" s="207">
        <f>'7990NTP-NP'!D25</f>
        <v>0</v>
      </c>
      <c r="I47" s="130" t="s">
        <v>199</v>
      </c>
      <c r="J47" s="115" t="s">
        <v>452</v>
      </c>
      <c r="K47" s="196">
        <f>ROUNDDOWN('7990NTP-NP'!M25-('7990NTP-NP'!M25*0.438),2)</f>
        <v>0</v>
      </c>
      <c r="L47" s="216">
        <f>'7990NTP-NP'!E25</f>
        <v>0</v>
      </c>
      <c r="M47" s="435" t="s">
        <v>296</v>
      </c>
      <c r="N47" s="422" t="s">
        <v>200</v>
      </c>
      <c r="O47" s="196">
        <f>ROUNDDOWN('7990NTP-NP'!N25-('7990NTP-NP'!N25*0.438),2)</f>
        <v>0</v>
      </c>
      <c r="P47" s="207">
        <f>'7990NTP-NP'!F25</f>
        <v>0</v>
      </c>
      <c r="Q47" s="435" t="s">
        <v>296</v>
      </c>
      <c r="R47" s="422" t="s">
        <v>200</v>
      </c>
      <c r="S47" s="196">
        <f>ROUNDDOWN('7990NTP-NP'!O25-('7990NTP-NP'!O25*0.438),2)</f>
        <v>0</v>
      </c>
      <c r="T47" s="207">
        <f>'7990NTP-NP'!G25</f>
        <v>0</v>
      </c>
      <c r="U47" s="435" t="s">
        <v>296</v>
      </c>
      <c r="V47" s="422" t="s">
        <v>200</v>
      </c>
      <c r="W47" s="196">
        <f>ROUNDDOWN('7990NTP-NP'!P25-('7990NTP-NP'!P25*0.438),2)</f>
        <v>0</v>
      </c>
      <c r="X47" s="207">
        <f>'7990NTP-NP'!H25</f>
        <v>0</v>
      </c>
      <c r="Y47" s="435" t="s">
        <v>296</v>
      </c>
      <c r="Z47" s="422" t="s">
        <v>200</v>
      </c>
      <c r="AA47" s="196">
        <f>ROUNDDOWN('7990NTP-NP'!Q25-('7990NTP-NP'!Q25*0.438),2)</f>
        <v>0</v>
      </c>
      <c r="AB47" s="207">
        <f>'7990NTP-NP'!I25</f>
        <v>0</v>
      </c>
      <c r="AC47" s="199">
        <f>IF(C47+G47+K47+O47+S47+W47+AA47&gt;0,C47+G47+K47+O47+S47+W47+AA47,0)</f>
        <v>0</v>
      </c>
      <c r="AD47" s="153"/>
    </row>
    <row r="48" spans="1:30" ht="66" x14ac:dyDescent="0.25">
      <c r="A48" s="121" t="s">
        <v>201</v>
      </c>
      <c r="B48" s="115" t="s">
        <v>202</v>
      </c>
      <c r="C48" s="211">
        <f>ROUNDUP('7990NTP-NP'!K25*0.438,2)</f>
        <v>0</v>
      </c>
      <c r="D48" s="212"/>
      <c r="E48" s="137" t="s">
        <v>201</v>
      </c>
      <c r="F48" s="138" t="s">
        <v>416</v>
      </c>
      <c r="G48" s="196">
        <f>ROUNDUP('7990NTP-NP'!L25*0.438,2)</f>
        <v>0</v>
      </c>
      <c r="H48" s="212"/>
      <c r="I48" s="130" t="s">
        <v>201</v>
      </c>
      <c r="J48" s="115" t="s">
        <v>453</v>
      </c>
      <c r="K48" s="196">
        <f>ROUNDUP('7990NTP-NP'!M25*0.438,2)</f>
        <v>0</v>
      </c>
      <c r="L48" s="204"/>
      <c r="M48" s="435" t="s">
        <v>297</v>
      </c>
      <c r="N48" s="422" t="s">
        <v>298</v>
      </c>
      <c r="O48" s="196">
        <f>ROUNDUP('7990NTP-NP'!N25*0.438,2)</f>
        <v>0</v>
      </c>
      <c r="P48" s="212"/>
      <c r="Q48" s="435" t="s">
        <v>297</v>
      </c>
      <c r="R48" s="422" t="s">
        <v>298</v>
      </c>
      <c r="S48" s="196">
        <f>ROUNDUP('7990NTP-NP'!O25*0.438,2)</f>
        <v>0</v>
      </c>
      <c r="T48" s="212"/>
      <c r="U48" s="435" t="s">
        <v>297</v>
      </c>
      <c r="V48" s="422" t="s">
        <v>298</v>
      </c>
      <c r="W48" s="196">
        <f>ROUNDUP('7990NTP-NP'!P25*0.438,2)</f>
        <v>0</v>
      </c>
      <c r="X48" s="212"/>
      <c r="Y48" s="435" t="s">
        <v>297</v>
      </c>
      <c r="Z48" s="422" t="s">
        <v>298</v>
      </c>
      <c r="AA48" s="196">
        <f>ROUNDUP('7990NTP-NP'!Q25*0.438,2)</f>
        <v>0</v>
      </c>
      <c r="AB48" s="212"/>
      <c r="AC48" s="199">
        <f>IF(C48+G48+K48+O48+S48+W48+AA48&gt;0,C48+G48+K48+O48+S48+W48+AA48,0)</f>
        <v>0</v>
      </c>
      <c r="AD48" s="153"/>
    </row>
    <row r="49" spans="1:30" ht="14.4" x14ac:dyDescent="0.3">
      <c r="A49" s="194"/>
      <c r="B49" s="218"/>
      <c r="C49" s="213"/>
      <c r="D49" s="212"/>
      <c r="E49" s="194"/>
      <c r="F49" s="218"/>
      <c r="G49" s="200"/>
      <c r="H49" s="212"/>
      <c r="I49" s="209"/>
      <c r="J49" s="218"/>
      <c r="K49" s="200"/>
      <c r="L49" s="204"/>
      <c r="M49" s="431"/>
      <c r="N49" s="427"/>
      <c r="O49" s="200"/>
      <c r="P49" s="212"/>
      <c r="Q49" s="194"/>
      <c r="R49" s="218"/>
      <c r="S49" s="200"/>
      <c r="T49" s="212"/>
      <c r="U49" s="194"/>
      <c r="V49" s="218"/>
      <c r="W49" s="200"/>
      <c r="X49" s="212"/>
      <c r="Y49" s="194"/>
      <c r="Z49" s="218"/>
      <c r="AA49" s="200"/>
      <c r="AB49" s="212"/>
      <c r="AC49" s="199"/>
      <c r="AD49" s="153"/>
    </row>
    <row r="50" spans="1:30" ht="66" x14ac:dyDescent="0.25">
      <c r="A50" s="121" t="s">
        <v>203</v>
      </c>
      <c r="B50" s="115" t="s">
        <v>204</v>
      </c>
      <c r="C50" s="211">
        <f>ROUNDDOWN('7990NTP-NP'!K26-('7990NTP-NP'!K26*0.3066),2)</f>
        <v>0</v>
      </c>
      <c r="D50" s="207">
        <f>'7990NTP-NP'!C26</f>
        <v>0</v>
      </c>
      <c r="E50" s="137" t="s">
        <v>203</v>
      </c>
      <c r="F50" s="138" t="s">
        <v>417</v>
      </c>
      <c r="G50" s="211">
        <f>ROUNDDOWN('7990NTP-NP'!L26-('7990NTP-NP'!L26*0.3066),2)</f>
        <v>0</v>
      </c>
      <c r="H50" s="207">
        <f>'7990NTP-NP'!D26</f>
        <v>0</v>
      </c>
      <c r="I50" s="130" t="s">
        <v>203</v>
      </c>
      <c r="J50" s="115" t="s">
        <v>454</v>
      </c>
      <c r="K50" s="211">
        <f>ROUNDDOWN('7990NTP-NP'!M26-('7990NTP-NP'!M26*0.3066),2)</f>
        <v>0</v>
      </c>
      <c r="L50" s="216">
        <f>'7990NTP-NP'!E26</f>
        <v>0</v>
      </c>
      <c r="M50" s="435" t="s">
        <v>299</v>
      </c>
      <c r="N50" s="422" t="s">
        <v>204</v>
      </c>
      <c r="O50" s="211">
        <f>ROUNDDOWN('7990NTP-NP'!N26-('7990NTP-NP'!N26*0.3066),2)</f>
        <v>0</v>
      </c>
      <c r="P50" s="207">
        <f>'7990NTP-NP'!F26</f>
        <v>0</v>
      </c>
      <c r="Q50" s="435" t="s">
        <v>299</v>
      </c>
      <c r="R50" s="422" t="s">
        <v>204</v>
      </c>
      <c r="S50" s="211">
        <f>ROUNDDOWN('7990NTP-NP'!O26-('7990NTP-NP'!O26*0.3066),2)</f>
        <v>0</v>
      </c>
      <c r="T50" s="207">
        <f>'7990NTP-NP'!G26</f>
        <v>0</v>
      </c>
      <c r="U50" s="435" t="s">
        <v>299</v>
      </c>
      <c r="V50" s="422" t="s">
        <v>204</v>
      </c>
      <c r="W50" s="211">
        <f>ROUNDDOWN('7990NTP-NP'!P26-('7990NTP-NP'!P26*0.3066),2)</f>
        <v>0</v>
      </c>
      <c r="X50" s="207">
        <f>'7990NTP-NP'!H26</f>
        <v>0</v>
      </c>
      <c r="Y50" s="435" t="s">
        <v>299</v>
      </c>
      <c r="Z50" s="422" t="s">
        <v>204</v>
      </c>
      <c r="AA50" s="211">
        <f>ROUNDDOWN('7990NTP-NP'!Q26-('7990NTP-NP'!Q26*0.3066),2)</f>
        <v>0</v>
      </c>
      <c r="AB50" s="207">
        <f>'7990NTP-NP'!I26</f>
        <v>0</v>
      </c>
      <c r="AC50" s="199">
        <f>IF(C50+G50+K50+O50+S50+W50+AA50&gt;0,C50+G50+K50+O50+S50+W50+AA50,0)</f>
        <v>0</v>
      </c>
      <c r="AD50" s="153"/>
    </row>
    <row r="51" spans="1:30" ht="66" x14ac:dyDescent="0.25">
      <c r="A51" s="121" t="s">
        <v>205</v>
      </c>
      <c r="B51" s="115" t="s">
        <v>206</v>
      </c>
      <c r="C51" s="211">
        <f>ROUNDUP('7990NTP-NP'!K26*0.3066,2)</f>
        <v>0</v>
      </c>
      <c r="D51" s="217"/>
      <c r="E51" s="137" t="s">
        <v>205</v>
      </c>
      <c r="F51" s="138" t="s">
        <v>418</v>
      </c>
      <c r="G51" s="196">
        <f>ROUNDUP('7990NTP-NP'!L26*0.3066,2)</f>
        <v>0</v>
      </c>
      <c r="H51" s="217"/>
      <c r="I51" s="130" t="s">
        <v>205</v>
      </c>
      <c r="J51" s="115" t="s">
        <v>455</v>
      </c>
      <c r="K51" s="196">
        <f>ROUNDUP('7990NTP-NP'!M26*0.3066,2)</f>
        <v>0</v>
      </c>
      <c r="L51" s="198"/>
      <c r="M51" s="435" t="s">
        <v>300</v>
      </c>
      <c r="N51" s="422" t="s">
        <v>301</v>
      </c>
      <c r="O51" s="196">
        <f>ROUNDUP('7990NTP-NP'!N26*0.3066,2)</f>
        <v>0</v>
      </c>
      <c r="P51" s="217"/>
      <c r="Q51" s="435" t="s">
        <v>300</v>
      </c>
      <c r="R51" s="422" t="s">
        <v>301</v>
      </c>
      <c r="S51" s="196">
        <f>ROUNDUP('7990NTP-NP'!O26*0.3066,2)</f>
        <v>0</v>
      </c>
      <c r="T51" s="217"/>
      <c r="U51" s="435" t="s">
        <v>300</v>
      </c>
      <c r="V51" s="422" t="s">
        <v>301</v>
      </c>
      <c r="W51" s="196">
        <f>ROUNDUP('7990NTP-NP'!P26*0.3066,2)</f>
        <v>0</v>
      </c>
      <c r="X51" s="217"/>
      <c r="Y51" s="435" t="s">
        <v>300</v>
      </c>
      <c r="Z51" s="422" t="s">
        <v>301</v>
      </c>
      <c r="AA51" s="196">
        <f>ROUNDUP('7990NTP-NP'!Q26*0.3066,2)</f>
        <v>0</v>
      </c>
      <c r="AB51" s="217"/>
      <c r="AC51" s="199">
        <f>IF(C51+G51+K51+O51+S51+W51+AA51&gt;0,C51+G51+K51+O51+S51+W51+AA51,0)</f>
        <v>0</v>
      </c>
      <c r="AD51" s="153"/>
    </row>
    <row r="52" spans="1:30" ht="14.4" x14ac:dyDescent="0.3">
      <c r="A52" s="194"/>
      <c r="B52" s="195"/>
      <c r="C52" s="213"/>
      <c r="D52" s="212"/>
      <c r="E52" s="194"/>
      <c r="F52" s="195"/>
      <c r="G52" s="200"/>
      <c r="H52" s="212"/>
      <c r="I52" s="209"/>
      <c r="J52" s="195"/>
      <c r="K52" s="200"/>
      <c r="L52" s="204"/>
      <c r="M52" s="431"/>
      <c r="N52" s="425"/>
      <c r="O52" s="200"/>
      <c r="P52" s="212"/>
      <c r="Q52" s="194"/>
      <c r="R52" s="195"/>
      <c r="S52" s="200"/>
      <c r="T52" s="212"/>
      <c r="U52" s="194"/>
      <c r="V52" s="195"/>
      <c r="W52" s="200"/>
      <c r="X52" s="212"/>
      <c r="Y52" s="194"/>
      <c r="Z52" s="195"/>
      <c r="AA52" s="200"/>
      <c r="AB52" s="212"/>
      <c r="AC52" s="199"/>
      <c r="AD52" s="153"/>
    </row>
    <row r="53" spans="1:30" ht="52.8" x14ac:dyDescent="0.25">
      <c r="A53" s="121" t="s">
        <v>230</v>
      </c>
      <c r="B53" s="115" t="s">
        <v>390</v>
      </c>
      <c r="C53" s="211">
        <f>SUM('7990NTP-NP'!K27*1)</f>
        <v>0</v>
      </c>
      <c r="D53" s="207">
        <f>'7990NTP-NP'!C27</f>
        <v>0</v>
      </c>
      <c r="E53" s="137" t="s">
        <v>230</v>
      </c>
      <c r="F53" s="138" t="s">
        <v>390</v>
      </c>
      <c r="G53" s="196">
        <f>SUM('7990NTP-NP'!L27*1)</f>
        <v>0</v>
      </c>
      <c r="H53" s="207">
        <f>'7990NTP-NP'!D27</f>
        <v>0</v>
      </c>
      <c r="I53" s="130" t="s">
        <v>230</v>
      </c>
      <c r="J53" s="115" t="s">
        <v>390</v>
      </c>
      <c r="K53" s="196">
        <f>SUM('7990NTP-NP'!M27*1)</f>
        <v>0</v>
      </c>
      <c r="L53" s="216">
        <f>'7990NTP-NP'!E27</f>
        <v>0</v>
      </c>
      <c r="M53" s="435" t="s">
        <v>348</v>
      </c>
      <c r="N53" s="422" t="s">
        <v>349</v>
      </c>
      <c r="O53" s="196">
        <f>SUM('7990NTP-NP'!N27*1)</f>
        <v>0</v>
      </c>
      <c r="P53" s="207">
        <f>'7990NTP-NP'!F27</f>
        <v>0</v>
      </c>
      <c r="Q53" s="435" t="s">
        <v>348</v>
      </c>
      <c r="R53" s="422" t="s">
        <v>349</v>
      </c>
      <c r="S53" s="196">
        <f>SUM('7990NTP-NP'!O27*1)</f>
        <v>0</v>
      </c>
      <c r="T53" s="207">
        <f>'7990NTP-NP'!G27</f>
        <v>0</v>
      </c>
      <c r="U53" s="435" t="s">
        <v>348</v>
      </c>
      <c r="V53" s="422" t="s">
        <v>349</v>
      </c>
      <c r="W53" s="196">
        <f>SUM('7990NTP-NP'!P27*1)</f>
        <v>0</v>
      </c>
      <c r="X53" s="207">
        <f>'7990NTP-NP'!H27</f>
        <v>0</v>
      </c>
      <c r="Y53" s="435" t="s">
        <v>348</v>
      </c>
      <c r="Z53" s="422" t="s">
        <v>349</v>
      </c>
      <c r="AA53" s="196">
        <f>SUM('7990NTP-NP'!Q27*1)</f>
        <v>0</v>
      </c>
      <c r="AB53" s="207">
        <f>'7990NTP-NP'!I27</f>
        <v>0</v>
      </c>
      <c r="AC53" s="199">
        <f>IF(C53+G53+K53+O53+S53+W53+AA53&gt;0,C53+G53+K53+O53+S53+W53+AA53,0)</f>
        <v>0</v>
      </c>
      <c r="AD53" s="153"/>
    </row>
    <row r="54" spans="1:30" ht="14.4" x14ac:dyDescent="0.3">
      <c r="A54" s="194"/>
      <c r="B54" s="195"/>
      <c r="C54" s="213"/>
      <c r="D54" s="212"/>
      <c r="E54" s="194"/>
      <c r="F54" s="195"/>
      <c r="G54" s="200"/>
      <c r="H54" s="212"/>
      <c r="I54" s="209"/>
      <c r="J54" s="195"/>
      <c r="K54" s="200"/>
      <c r="L54" s="215"/>
      <c r="M54" s="431"/>
      <c r="N54" s="425"/>
      <c r="O54" s="200"/>
      <c r="P54" s="212"/>
      <c r="Q54" s="194"/>
      <c r="R54" s="195"/>
      <c r="S54" s="200"/>
      <c r="T54" s="212"/>
      <c r="U54" s="194"/>
      <c r="V54" s="195"/>
      <c r="W54" s="200"/>
      <c r="X54" s="212"/>
      <c r="Y54" s="194"/>
      <c r="Z54" s="195"/>
      <c r="AA54" s="200"/>
      <c r="AB54" s="212"/>
      <c r="AC54" s="199"/>
      <c r="AD54" s="153"/>
    </row>
    <row r="55" spans="1:30" ht="66" x14ac:dyDescent="0.25">
      <c r="A55" s="123" t="s">
        <v>393</v>
      </c>
      <c r="B55" s="115" t="s">
        <v>391</v>
      </c>
      <c r="C55" s="211">
        <f>ROUNDDOWN('7990NTP-NP'!K28-('7990NTP-NP'!K28*0.3066),2)</f>
        <v>0</v>
      </c>
      <c r="D55" s="207">
        <f>'7990NTP-NP'!C28</f>
        <v>0</v>
      </c>
      <c r="E55" s="141" t="s">
        <v>393</v>
      </c>
      <c r="F55" s="138" t="s">
        <v>391</v>
      </c>
      <c r="G55" s="196">
        <f>ROUNDDOWN('7990NTP-NP'!L28-('7990NTP-NP'!L28*0.3066),2)</f>
        <v>0</v>
      </c>
      <c r="H55" s="207">
        <f>'7990NTP-NP'!D28</f>
        <v>0</v>
      </c>
      <c r="I55" s="126" t="s">
        <v>393</v>
      </c>
      <c r="J55" s="115" t="s">
        <v>391</v>
      </c>
      <c r="K55" s="196">
        <f>ROUNDDOWN('7990NTP-NP'!M28-('7990NTP-NP'!M28*0.3066),2)</f>
        <v>0</v>
      </c>
      <c r="L55" s="216">
        <f>'7990NTP-NP'!E28</f>
        <v>0</v>
      </c>
      <c r="M55" s="423" t="s">
        <v>393</v>
      </c>
      <c r="N55" s="422" t="s">
        <v>391</v>
      </c>
      <c r="O55" s="196">
        <f>ROUNDDOWN('7990NTP-NP'!N28-('7990NTP-NP'!N28*0.3066),2)</f>
        <v>0</v>
      </c>
      <c r="P55" s="207">
        <f>'7990NTP-NP'!F28</f>
        <v>0</v>
      </c>
      <c r="Q55" s="141" t="s">
        <v>393</v>
      </c>
      <c r="R55" s="138" t="s">
        <v>391</v>
      </c>
      <c r="S55" s="196">
        <f>ROUNDDOWN('7990NTP-NP'!O28-('7990NTP-NP'!O28*0.3066),2)</f>
        <v>0</v>
      </c>
      <c r="T55" s="207">
        <f>'7990NTP-NP'!G28</f>
        <v>0</v>
      </c>
      <c r="U55" s="141" t="s">
        <v>393</v>
      </c>
      <c r="V55" s="138" t="s">
        <v>391</v>
      </c>
      <c r="W55" s="196">
        <f>ROUNDDOWN('7990NTP-NP'!P28-('7990NTP-NP'!P28*0.3066),2)</f>
        <v>0</v>
      </c>
      <c r="X55" s="207">
        <f>'7990NTP-NP'!H28</f>
        <v>0</v>
      </c>
      <c r="Y55" s="141" t="s">
        <v>393</v>
      </c>
      <c r="Z55" s="138" t="s">
        <v>391</v>
      </c>
      <c r="AA55" s="196">
        <f>ROUNDDOWN('7990NTP-NP'!Q28-('7990NTP-NP'!Q28*0.3066),2)</f>
        <v>0</v>
      </c>
      <c r="AB55" s="207">
        <f>'7990NTP-NP'!I28</f>
        <v>0</v>
      </c>
      <c r="AC55" s="199">
        <f>IF(C55+G55+K55+O55+S55+W55+AA55&gt;0,C55+G55+K55+O55+S55+W55+AA55,0)</f>
        <v>0</v>
      </c>
      <c r="AD55" s="153"/>
    </row>
    <row r="56" spans="1:30" ht="66" x14ac:dyDescent="0.25">
      <c r="A56" s="123" t="s">
        <v>394</v>
      </c>
      <c r="B56" s="115" t="s">
        <v>392</v>
      </c>
      <c r="C56" s="211">
        <f>ROUNDUP('7990NTP-NP'!K28*0.3066,2)</f>
        <v>0</v>
      </c>
      <c r="D56" s="217"/>
      <c r="E56" s="141" t="s">
        <v>394</v>
      </c>
      <c r="F56" s="138" t="s">
        <v>392</v>
      </c>
      <c r="G56" s="196">
        <f>ROUNDUP('7990NTP-NP'!L28*0.3066,2)</f>
        <v>0</v>
      </c>
      <c r="H56" s="217"/>
      <c r="I56" s="126" t="s">
        <v>394</v>
      </c>
      <c r="J56" s="115" t="s">
        <v>392</v>
      </c>
      <c r="K56" s="196">
        <f>ROUNDUP('7990NTP-NP'!M28*0.3066,2)</f>
        <v>0</v>
      </c>
      <c r="L56" s="198"/>
      <c r="M56" s="423" t="s">
        <v>394</v>
      </c>
      <c r="N56" s="422" t="s">
        <v>392</v>
      </c>
      <c r="O56" s="196">
        <f>ROUNDUP('7990NTP-NP'!N28*0.3066,2)</f>
        <v>0</v>
      </c>
      <c r="P56" s="217"/>
      <c r="Q56" s="141" t="s">
        <v>394</v>
      </c>
      <c r="R56" s="138" t="s">
        <v>392</v>
      </c>
      <c r="S56" s="196">
        <f>ROUNDUP('7990NTP-NP'!O28*0.3066,2)</f>
        <v>0</v>
      </c>
      <c r="T56" s="217"/>
      <c r="U56" s="141" t="s">
        <v>394</v>
      </c>
      <c r="V56" s="138" t="s">
        <v>392</v>
      </c>
      <c r="W56" s="196">
        <f>ROUNDUP('7990NTP-NP'!P28*0.3066,2)</f>
        <v>0</v>
      </c>
      <c r="X56" s="217"/>
      <c r="Y56" s="141" t="s">
        <v>394</v>
      </c>
      <c r="Z56" s="138" t="s">
        <v>392</v>
      </c>
      <c r="AA56" s="196">
        <f>ROUNDUP('7990NTP-NP'!Q28*0.3066,2)</f>
        <v>0</v>
      </c>
      <c r="AB56" s="217"/>
      <c r="AC56" s="199">
        <f>IF(C56+G56+K56+O56+S56+W56+AA56&gt;0,C56+G56+K56+O56+S56+W56+AA56,0)</f>
        <v>0</v>
      </c>
      <c r="AD56" s="153"/>
    </row>
    <row r="57" spans="1:30" ht="14.4" x14ac:dyDescent="0.3">
      <c r="A57" s="194"/>
      <c r="B57" s="219"/>
      <c r="C57" s="213"/>
      <c r="D57" s="217"/>
      <c r="E57" s="194"/>
      <c r="F57" s="219"/>
      <c r="G57" s="200"/>
      <c r="H57" s="217"/>
      <c r="I57" s="209"/>
      <c r="J57" s="219"/>
      <c r="K57" s="200"/>
      <c r="L57" s="198"/>
      <c r="M57" s="431"/>
      <c r="N57" s="428"/>
      <c r="O57" s="200"/>
      <c r="P57" s="217"/>
      <c r="Q57" s="194"/>
      <c r="R57" s="219"/>
      <c r="S57" s="200"/>
      <c r="T57" s="217"/>
      <c r="U57" s="194"/>
      <c r="V57" s="219"/>
      <c r="W57" s="200"/>
      <c r="X57" s="217"/>
      <c r="Y57" s="194"/>
      <c r="Z57" s="219"/>
      <c r="AA57" s="200"/>
      <c r="AB57" s="217"/>
      <c r="AC57" s="199"/>
      <c r="AD57" s="153"/>
    </row>
    <row r="58" spans="1:30" ht="79.2" x14ac:dyDescent="0.25">
      <c r="A58" s="123" t="s">
        <v>171</v>
      </c>
      <c r="B58" s="115" t="s">
        <v>172</v>
      </c>
      <c r="C58" s="211">
        <f>ROUNDDOWN('7990NTP-NP'!K29-('7990NTP-NP'!K29*0.438),2)</f>
        <v>0</v>
      </c>
      <c r="D58" s="207">
        <f>'7990NTP-NP'!C29</f>
        <v>0</v>
      </c>
      <c r="E58" s="141" t="s">
        <v>171</v>
      </c>
      <c r="F58" s="138" t="s">
        <v>419</v>
      </c>
      <c r="G58" s="196">
        <f>ROUNDDOWN('7990NTP-NP'!L29-('7990NTP-NP'!L29*0.438),2)</f>
        <v>0</v>
      </c>
      <c r="H58" s="207">
        <f>'7990NTP-NP'!D29</f>
        <v>0</v>
      </c>
      <c r="I58" s="126" t="s">
        <v>171</v>
      </c>
      <c r="J58" s="115" t="s">
        <v>456</v>
      </c>
      <c r="K58" s="196">
        <f>ROUNDDOWN('7990NTP-NP'!M29-('7990NTP-NP'!M29*0.438),2)</f>
        <v>0</v>
      </c>
      <c r="L58" s="216">
        <f>'7990NTP-NP'!E29</f>
        <v>0</v>
      </c>
      <c r="M58" s="423" t="s">
        <v>171</v>
      </c>
      <c r="N58" s="422" t="s">
        <v>486</v>
      </c>
      <c r="O58" s="196">
        <f>ROUNDDOWN('7990NTP-NP'!N29-('7990NTP-NP'!N29*0.438),2)</f>
        <v>0</v>
      </c>
      <c r="P58" s="207">
        <f>'7990NTP-NP'!F29</f>
        <v>0</v>
      </c>
      <c r="Q58" s="141" t="s">
        <v>171</v>
      </c>
      <c r="R58" s="138" t="s">
        <v>494</v>
      </c>
      <c r="S58" s="196">
        <f>ROUNDDOWN('7990NTP-NP'!O29-('7990NTP-NP'!O29*0.438),2)</f>
        <v>0</v>
      </c>
      <c r="T58" s="207">
        <f>'7990NTP-NP'!G29</f>
        <v>0</v>
      </c>
      <c r="U58" s="141" t="s">
        <v>171</v>
      </c>
      <c r="V58" s="138" t="s">
        <v>502</v>
      </c>
      <c r="W58" s="196">
        <f>ROUNDDOWN('7990NTP-NP'!P29-('7990NTP-NP'!P29*0.438),2)</f>
        <v>0</v>
      </c>
      <c r="X58" s="207">
        <f>'7990NTP-NP'!H29</f>
        <v>0</v>
      </c>
      <c r="Y58" s="141" t="s">
        <v>171</v>
      </c>
      <c r="Z58" s="138" t="s">
        <v>510</v>
      </c>
      <c r="AA58" s="196">
        <f>ROUNDDOWN('7990NTP-NP'!Q29-('7990NTP-NP'!Q29*0.438),2)</f>
        <v>0</v>
      </c>
      <c r="AB58" s="207">
        <f>'7990NTP-NP'!I29</f>
        <v>0</v>
      </c>
      <c r="AC58" s="199">
        <f>IF(C58+G58+K58+O58+S58+W58+AA58&gt;0,C58+G58+K58+O58+S58+W58+AA58,0)</f>
        <v>0</v>
      </c>
      <c r="AD58" s="153"/>
    </row>
    <row r="59" spans="1:30" ht="79.2" x14ac:dyDescent="0.25">
      <c r="A59" s="123" t="s">
        <v>173</v>
      </c>
      <c r="B59" s="115" t="s">
        <v>174</v>
      </c>
      <c r="C59" s="211">
        <f>ROUNDUP('7990NTP-NP'!K29*0.438,2)</f>
        <v>0</v>
      </c>
      <c r="D59" s="217"/>
      <c r="E59" s="141" t="s">
        <v>173</v>
      </c>
      <c r="F59" s="138" t="s">
        <v>420</v>
      </c>
      <c r="G59" s="196">
        <f>ROUNDUP('7990NTP-NP'!L29*0.438,2)</f>
        <v>0</v>
      </c>
      <c r="H59" s="217"/>
      <c r="I59" s="126" t="s">
        <v>173</v>
      </c>
      <c r="J59" s="115" t="s">
        <v>457</v>
      </c>
      <c r="K59" s="196">
        <f>ROUNDUP('7990NTP-NP'!M29*0.438,2)</f>
        <v>0</v>
      </c>
      <c r="L59" s="198"/>
      <c r="M59" s="423" t="s">
        <v>173</v>
      </c>
      <c r="N59" s="422" t="s">
        <v>487</v>
      </c>
      <c r="O59" s="196">
        <f>ROUNDUP('7990NTP-NP'!N29*0.438,2)</f>
        <v>0</v>
      </c>
      <c r="P59" s="217"/>
      <c r="Q59" s="141" t="s">
        <v>173</v>
      </c>
      <c r="R59" s="138" t="s">
        <v>495</v>
      </c>
      <c r="S59" s="196">
        <f>ROUNDUP('7990NTP-NP'!O29*0.438,2)</f>
        <v>0</v>
      </c>
      <c r="T59" s="217"/>
      <c r="U59" s="141" t="s">
        <v>173</v>
      </c>
      <c r="V59" s="138" t="s">
        <v>503</v>
      </c>
      <c r="W59" s="196">
        <f>ROUNDUP('7990NTP-NP'!P29*0.438,2)</f>
        <v>0</v>
      </c>
      <c r="X59" s="217"/>
      <c r="Y59" s="141" t="s">
        <v>173</v>
      </c>
      <c r="Z59" s="138" t="s">
        <v>511</v>
      </c>
      <c r="AA59" s="196">
        <f>ROUNDUP('7990NTP-NP'!Q29*0.438,2)</f>
        <v>0</v>
      </c>
      <c r="AB59" s="217"/>
      <c r="AC59" s="199">
        <f>IF(C59+G59+K59+O59+S59+W59+AA59&gt;0,C59+G59+K59+O59+S59+W59+AA59,0)</f>
        <v>0</v>
      </c>
      <c r="AD59" s="153"/>
    </row>
    <row r="60" spans="1:30" ht="14.4" x14ac:dyDescent="0.3">
      <c r="A60" s="194"/>
      <c r="B60" s="219"/>
      <c r="C60" s="213"/>
      <c r="D60" s="217"/>
      <c r="E60" s="194"/>
      <c r="F60" s="219"/>
      <c r="G60" s="200"/>
      <c r="H60" s="217"/>
      <c r="I60" s="209"/>
      <c r="J60" s="219"/>
      <c r="K60" s="200"/>
      <c r="L60" s="198"/>
      <c r="M60" s="431"/>
      <c r="N60" s="428"/>
      <c r="O60" s="200"/>
      <c r="P60" s="217"/>
      <c r="Q60" s="194"/>
      <c r="R60" s="219"/>
      <c r="S60" s="200"/>
      <c r="T60" s="217"/>
      <c r="U60" s="194"/>
      <c r="V60" s="219"/>
      <c r="W60" s="200"/>
      <c r="X60" s="217"/>
      <c r="Y60" s="194"/>
      <c r="Z60" s="219"/>
      <c r="AA60" s="200"/>
      <c r="AB60" s="217"/>
      <c r="AC60" s="199"/>
      <c r="AD60" s="153"/>
    </row>
    <row r="61" spans="1:30" ht="79.2" x14ac:dyDescent="0.25">
      <c r="A61" s="468" t="s">
        <v>570</v>
      </c>
      <c r="B61" s="491" t="s">
        <v>568</v>
      </c>
      <c r="C61" s="492">
        <f>SUM('7990NTP-NP'!K30*1)</f>
        <v>0</v>
      </c>
      <c r="D61" s="488">
        <f>'7990NTP-NP'!C30</f>
        <v>0</v>
      </c>
      <c r="E61" s="468" t="s">
        <v>570</v>
      </c>
      <c r="F61" s="491" t="s">
        <v>568</v>
      </c>
      <c r="G61" s="482">
        <f>SUM('7990NTP-NP'!L30*1)</f>
        <v>0</v>
      </c>
      <c r="H61" s="488">
        <f>'7990NTP-NP'!D30</f>
        <v>0</v>
      </c>
      <c r="I61" s="468" t="s">
        <v>570</v>
      </c>
      <c r="J61" s="491" t="s">
        <v>568</v>
      </c>
      <c r="K61" s="482">
        <f>SUM('7990NTP-NP'!M30*1)</f>
        <v>0</v>
      </c>
      <c r="L61" s="488">
        <f>'7990NTP-NP'!E30</f>
        <v>0</v>
      </c>
      <c r="M61" s="468" t="s">
        <v>570</v>
      </c>
      <c r="N61" s="491" t="s">
        <v>568</v>
      </c>
      <c r="O61" s="482">
        <f>SUM('7990NTP-NP'!N30*1)</f>
        <v>0</v>
      </c>
      <c r="P61" s="488">
        <f>'7990NTP-NP'!F30</f>
        <v>0</v>
      </c>
      <c r="Q61" s="468" t="s">
        <v>570</v>
      </c>
      <c r="R61" s="491" t="s">
        <v>568</v>
      </c>
      <c r="S61" s="482">
        <f>SUM('7990NTP-NP'!O30*1)</f>
        <v>0</v>
      </c>
      <c r="T61" s="488">
        <f>'7990NTP-NP'!G30</f>
        <v>0</v>
      </c>
      <c r="U61" s="468" t="s">
        <v>570</v>
      </c>
      <c r="V61" s="491" t="s">
        <v>568</v>
      </c>
      <c r="W61" s="482">
        <f>SUM('7990NTP-NP'!P30*1)</f>
        <v>0</v>
      </c>
      <c r="X61" s="488">
        <f>'7990NTP-NP'!H30</f>
        <v>0</v>
      </c>
      <c r="Y61" s="468" t="s">
        <v>570</v>
      </c>
      <c r="Z61" s="491" t="s">
        <v>568</v>
      </c>
      <c r="AA61" s="482">
        <f>SUM('7990NTP-NP'!Q30*1)</f>
        <v>0</v>
      </c>
      <c r="AB61" s="488">
        <f>'7990NTP-NP'!I30</f>
        <v>0</v>
      </c>
      <c r="AC61" s="485">
        <f>IF(C61+G61+K61+O61+S61+W61+AA61&gt;0,C61+G61+K61+O61+S61+W61+AA61,0)</f>
        <v>0</v>
      </c>
      <c r="AD61" s="153"/>
    </row>
    <row r="62" spans="1:30" ht="14.4" x14ac:dyDescent="0.3">
      <c r="A62" s="462"/>
      <c r="B62" s="463"/>
      <c r="C62" s="464"/>
      <c r="D62" s="217"/>
      <c r="E62" s="431"/>
      <c r="F62" s="463"/>
      <c r="G62" s="465"/>
      <c r="H62" s="217"/>
      <c r="I62" s="462"/>
      <c r="J62" s="463"/>
      <c r="K62" s="465"/>
      <c r="L62" s="466"/>
      <c r="M62" s="431"/>
      <c r="N62" s="467"/>
      <c r="O62" s="465"/>
      <c r="P62" s="217"/>
      <c r="Q62" s="431"/>
      <c r="R62" s="463"/>
      <c r="S62" s="465"/>
      <c r="T62" s="217"/>
      <c r="U62" s="431"/>
      <c r="V62" s="463"/>
      <c r="W62" s="465"/>
      <c r="X62" s="217"/>
      <c r="Y62" s="431"/>
      <c r="Z62" s="463"/>
      <c r="AA62" s="465"/>
      <c r="AB62" s="217"/>
      <c r="AC62" s="445"/>
      <c r="AD62" s="153"/>
    </row>
    <row r="63" spans="1:30" ht="79.2" x14ac:dyDescent="0.25">
      <c r="A63" s="124" t="s">
        <v>397</v>
      </c>
      <c r="B63" s="115" t="s">
        <v>395</v>
      </c>
      <c r="C63" s="211">
        <f>ROUNDDOWN('7990NTP-NP'!K31-('7990NTP-NP'!K31*0.3066),2)</f>
        <v>0</v>
      </c>
      <c r="D63" s="207">
        <f>'7990NTP-NP'!C31</f>
        <v>0</v>
      </c>
      <c r="E63" s="142" t="s">
        <v>397</v>
      </c>
      <c r="F63" s="138" t="s">
        <v>395</v>
      </c>
      <c r="G63" s="196">
        <f>ROUNDDOWN('7990NTP-NP'!L31-('7990NTP-NP'!L31*0.3066),2)</f>
        <v>0</v>
      </c>
      <c r="H63" s="207">
        <f>'7990NTP-NP'!D31</f>
        <v>0</v>
      </c>
      <c r="I63" s="132" t="s">
        <v>397</v>
      </c>
      <c r="J63" s="115" t="s">
        <v>395</v>
      </c>
      <c r="K63" s="196">
        <f>ROUNDDOWN('7990NTP-NP'!M31-('7990NTP-NP'!M31*0.3066),2)</f>
        <v>0</v>
      </c>
      <c r="L63" s="216">
        <f>'7990NTP-NP'!E31</f>
        <v>0</v>
      </c>
      <c r="M63" s="423" t="s">
        <v>397</v>
      </c>
      <c r="N63" s="422" t="s">
        <v>395</v>
      </c>
      <c r="O63" s="196">
        <f>ROUNDDOWN('7990NTP-NP'!N31-('7990NTP-NP'!N31*0.3066),2)</f>
        <v>0</v>
      </c>
      <c r="P63" s="207">
        <f>'7990NTP-NP'!F31</f>
        <v>0</v>
      </c>
      <c r="Q63" s="142" t="s">
        <v>397</v>
      </c>
      <c r="R63" s="138" t="s">
        <v>395</v>
      </c>
      <c r="S63" s="196">
        <f>ROUNDDOWN('7990NTP-NP'!O31-('7990NTP-NP'!O31*0.3066),2)</f>
        <v>0</v>
      </c>
      <c r="T63" s="207">
        <f>'7990NTP-NP'!G31</f>
        <v>0</v>
      </c>
      <c r="U63" s="142" t="s">
        <v>397</v>
      </c>
      <c r="V63" s="138" t="s">
        <v>395</v>
      </c>
      <c r="W63" s="196">
        <f>ROUNDDOWN('7990NTP-NP'!P31-('7990NTP-NP'!P31*0.3066),2)</f>
        <v>0</v>
      </c>
      <c r="X63" s="207">
        <f>'7990NTP-NP'!H31</f>
        <v>0</v>
      </c>
      <c r="Y63" s="142" t="s">
        <v>397</v>
      </c>
      <c r="Z63" s="138" t="s">
        <v>395</v>
      </c>
      <c r="AA63" s="196">
        <f>ROUNDDOWN('7990NTP-NP'!Q31-('7990NTP-NP'!Q31*0.3066),2)</f>
        <v>0</v>
      </c>
      <c r="AB63" s="207">
        <f>'7990NTP-NP'!I31</f>
        <v>0</v>
      </c>
      <c r="AC63" s="199">
        <f>IF(C63+G63+K63+O63+S63+W63+AA63&gt;0,C63+G63+K63+O63+S63+W63+AA63,0)</f>
        <v>0</v>
      </c>
      <c r="AD63" s="153"/>
    </row>
    <row r="64" spans="1:30" ht="79.2" x14ac:dyDescent="0.25">
      <c r="A64" s="124" t="s">
        <v>398</v>
      </c>
      <c r="B64" s="115" t="s">
        <v>396</v>
      </c>
      <c r="C64" s="211">
        <f>ROUNDUP('7990NTP-NP'!K31*0.3066,2)</f>
        <v>0</v>
      </c>
      <c r="D64" s="217"/>
      <c r="E64" s="142" t="s">
        <v>398</v>
      </c>
      <c r="F64" s="138" t="s">
        <v>396</v>
      </c>
      <c r="G64" s="196">
        <f>ROUNDUP('7990NTP-NP'!L31*0.3066,2)</f>
        <v>0</v>
      </c>
      <c r="H64" s="217"/>
      <c r="I64" s="132" t="s">
        <v>398</v>
      </c>
      <c r="J64" s="115" t="s">
        <v>396</v>
      </c>
      <c r="K64" s="196">
        <f>ROUNDUP('7990NTP-NP'!M31*0.3066,2)</f>
        <v>0</v>
      </c>
      <c r="L64" s="198"/>
      <c r="M64" s="423" t="s">
        <v>398</v>
      </c>
      <c r="N64" s="422" t="s">
        <v>396</v>
      </c>
      <c r="O64" s="196">
        <f>ROUNDUP('7990NTP-NP'!N31*0.3066,2)</f>
        <v>0</v>
      </c>
      <c r="P64" s="217"/>
      <c r="Q64" s="142" t="s">
        <v>398</v>
      </c>
      <c r="R64" s="138" t="s">
        <v>396</v>
      </c>
      <c r="S64" s="196">
        <f>ROUNDUP('7990NTP-NP'!O31*0.3066,2)</f>
        <v>0</v>
      </c>
      <c r="T64" s="217"/>
      <c r="U64" s="142" t="s">
        <v>398</v>
      </c>
      <c r="V64" s="138" t="s">
        <v>396</v>
      </c>
      <c r="W64" s="196">
        <f>ROUNDUP('7990NTP-NP'!P31*0.3066,2)</f>
        <v>0</v>
      </c>
      <c r="X64" s="217"/>
      <c r="Y64" s="142" t="s">
        <v>398</v>
      </c>
      <c r="Z64" s="138" t="s">
        <v>396</v>
      </c>
      <c r="AA64" s="196">
        <f>ROUNDUP('7990NTP-NP'!Q31*0.3066,2)</f>
        <v>0</v>
      </c>
      <c r="AB64" s="217"/>
      <c r="AC64" s="199">
        <f>IF(C64+G64+K64+O64+S64+W64+AA64&gt;0,C64+G64+K64+O64+S64+W64+AA64,0)</f>
        <v>0</v>
      </c>
      <c r="AD64" s="153"/>
    </row>
    <row r="65" spans="1:30" ht="14.4" x14ac:dyDescent="0.3">
      <c r="A65" s="194"/>
      <c r="B65" s="195"/>
      <c r="C65" s="213"/>
      <c r="D65" s="212"/>
      <c r="E65" s="194"/>
      <c r="F65" s="195"/>
      <c r="G65" s="200"/>
      <c r="H65" s="212"/>
      <c r="I65" s="209"/>
      <c r="J65" s="195"/>
      <c r="K65" s="200"/>
      <c r="L65" s="204"/>
      <c r="M65" s="431"/>
      <c r="N65" s="425"/>
      <c r="O65" s="200"/>
      <c r="P65" s="212"/>
      <c r="Q65" s="194"/>
      <c r="R65" s="195"/>
      <c r="S65" s="200"/>
      <c r="T65" s="212"/>
      <c r="U65" s="194"/>
      <c r="V65" s="195"/>
      <c r="W65" s="200"/>
      <c r="X65" s="212"/>
      <c r="Y65" s="194"/>
      <c r="Z65" s="195"/>
      <c r="AA65" s="200"/>
      <c r="AB65" s="212"/>
      <c r="AC65" s="199"/>
      <c r="AD65" s="153"/>
    </row>
    <row r="66" spans="1:30" ht="81.45" customHeight="1" x14ac:dyDescent="0.25">
      <c r="A66" s="125" t="s">
        <v>329</v>
      </c>
      <c r="B66" s="115" t="s">
        <v>175</v>
      </c>
      <c r="C66" s="211">
        <f>ROUNDDOWN('7990NTP-NP'!$K$32-('7990NTP-NP'!$K$32*0.438),2)</f>
        <v>0</v>
      </c>
      <c r="D66" s="207">
        <f>'7990NTP-NP'!C32</f>
        <v>0</v>
      </c>
      <c r="E66" s="143" t="s">
        <v>329</v>
      </c>
      <c r="F66" s="138" t="s">
        <v>421</v>
      </c>
      <c r="G66" s="196">
        <f>ROUNDDOWN('7990NTP-NP'!$L$32-('7990NTP-NP'!$L$32*0.438),2)</f>
        <v>0</v>
      </c>
      <c r="H66" s="207">
        <f>'7990NTP-NP'!D32</f>
        <v>0</v>
      </c>
      <c r="I66" s="133" t="s">
        <v>329</v>
      </c>
      <c r="J66" s="115" t="s">
        <v>458</v>
      </c>
      <c r="K66" s="196">
        <f>ROUNDDOWN('7990NTP-NP'!$M$32-('7990NTP-NP'!$M$32*0.438),2)</f>
        <v>0</v>
      </c>
      <c r="L66" s="216">
        <f>'7990NTP-NP'!E32</f>
        <v>0</v>
      </c>
      <c r="M66" s="423" t="s">
        <v>532</v>
      </c>
      <c r="N66" s="422" t="s">
        <v>175</v>
      </c>
      <c r="O66" s="196">
        <f>ROUNDDOWN('7990NTP-NP'!$N$32-('7990NTP-NP'!$N$32*0.438),2)</f>
        <v>0</v>
      </c>
      <c r="P66" s="207">
        <f>'7990NTP-NP'!F32</f>
        <v>0</v>
      </c>
      <c r="Q66" s="423" t="s">
        <v>532</v>
      </c>
      <c r="R66" s="422" t="s">
        <v>175</v>
      </c>
      <c r="S66" s="196">
        <f>ROUNDDOWN('7990NTP-NP'!$O$32-('7990NTP-NP'!$O$32*0.438),2)</f>
        <v>0</v>
      </c>
      <c r="T66" s="207">
        <f>'7990NTP-NP'!G32</f>
        <v>0</v>
      </c>
      <c r="U66" s="423" t="s">
        <v>532</v>
      </c>
      <c r="V66" s="422" t="s">
        <v>175</v>
      </c>
      <c r="W66" s="196">
        <f>ROUNDDOWN('7990NTP-NP'!$P$32-('7990NTP-NP'!$P$32*0.438),2)</f>
        <v>0</v>
      </c>
      <c r="X66" s="207">
        <f>'7990NTP-NP'!H32</f>
        <v>0</v>
      </c>
      <c r="Y66" s="423" t="s">
        <v>532</v>
      </c>
      <c r="Z66" s="422" t="s">
        <v>175</v>
      </c>
      <c r="AA66" s="196">
        <f>ROUNDDOWN('7990NTP-NP'!$Q$32-('7990NTP-NP'!$Q$32*0.438),2)</f>
        <v>0</v>
      </c>
      <c r="AB66" s="207">
        <f>'7990NTP-NP'!I32</f>
        <v>0</v>
      </c>
      <c r="AC66" s="199">
        <f>IF(C66+G66+K66+O66+S66+W66+AA66&gt;0,C66+G66+K66+O66+S66+W66+AA66,0)</f>
        <v>0</v>
      </c>
      <c r="AD66" s="153"/>
    </row>
    <row r="67" spans="1:30" ht="66" x14ac:dyDescent="0.25">
      <c r="A67" s="125" t="s">
        <v>330</v>
      </c>
      <c r="B67" s="115" t="s">
        <v>331</v>
      </c>
      <c r="C67" s="211">
        <f>ROUNDUP('7990NTP-NP'!$K$32*0.438,2)</f>
        <v>0</v>
      </c>
      <c r="D67" s="212"/>
      <c r="E67" s="143" t="s">
        <v>330</v>
      </c>
      <c r="F67" s="138" t="s">
        <v>422</v>
      </c>
      <c r="G67" s="196">
        <f>ROUNDUP('7990NTP-NP'!$L$32*0.438,2)</f>
        <v>0</v>
      </c>
      <c r="H67" s="212"/>
      <c r="I67" s="133" t="s">
        <v>330</v>
      </c>
      <c r="J67" s="115" t="s">
        <v>459</v>
      </c>
      <c r="K67" s="196">
        <f>ROUNDUP('7990NTP-NP'!$M$32*0.438,2)</f>
        <v>0</v>
      </c>
      <c r="L67" s="204"/>
      <c r="M67" s="423" t="s">
        <v>533</v>
      </c>
      <c r="N67" s="422" t="s">
        <v>534</v>
      </c>
      <c r="O67" s="196">
        <f>ROUNDUP('7990NTP-NP'!$N$32*0.438,2)</f>
        <v>0</v>
      </c>
      <c r="P67" s="212"/>
      <c r="Q67" s="423" t="s">
        <v>533</v>
      </c>
      <c r="R67" s="422" t="s">
        <v>534</v>
      </c>
      <c r="S67" s="196">
        <f>ROUNDUP('7990NTP-NP'!$O$32*0.438,2)</f>
        <v>0</v>
      </c>
      <c r="T67" s="212"/>
      <c r="U67" s="423" t="s">
        <v>533</v>
      </c>
      <c r="V67" s="422" t="s">
        <v>534</v>
      </c>
      <c r="W67" s="196">
        <f>ROUNDUP('7990NTP-NP'!$P$32*0.438,2)</f>
        <v>0</v>
      </c>
      <c r="X67" s="212"/>
      <c r="Y67" s="423" t="s">
        <v>533</v>
      </c>
      <c r="Z67" s="422" t="s">
        <v>534</v>
      </c>
      <c r="AA67" s="196">
        <f>ROUNDUP('7990NTP-NP'!$Q$32*0.438,2)</f>
        <v>0</v>
      </c>
      <c r="AB67" s="212"/>
      <c r="AC67" s="199">
        <f>IF(C67+G67+K67+O67+S67+W67+AA67&gt;0,C67+G67+K67+O67+S67+W67+AA67,0)</f>
        <v>0</v>
      </c>
      <c r="AD67" s="153"/>
    </row>
    <row r="68" spans="1:30" ht="14.4" x14ac:dyDescent="0.3">
      <c r="A68" s="194"/>
      <c r="B68" s="195"/>
      <c r="C68" s="213"/>
      <c r="D68" s="212"/>
      <c r="E68" s="194"/>
      <c r="F68" s="195"/>
      <c r="G68" s="200"/>
      <c r="H68" s="212"/>
      <c r="I68" s="209"/>
      <c r="J68" s="195"/>
      <c r="K68" s="200"/>
      <c r="L68" s="204"/>
      <c r="M68" s="431"/>
      <c r="N68" s="425"/>
      <c r="O68" s="200"/>
      <c r="P68" s="212"/>
      <c r="Q68" s="194"/>
      <c r="R68" s="195"/>
      <c r="S68" s="200"/>
      <c r="T68" s="212"/>
      <c r="U68" s="194"/>
      <c r="V68" s="195"/>
      <c r="W68" s="200"/>
      <c r="X68" s="212"/>
      <c r="Y68" s="194"/>
      <c r="Z68" s="195"/>
      <c r="AA68" s="200"/>
      <c r="AB68" s="212"/>
      <c r="AC68" s="199"/>
      <c r="AD68" s="153"/>
    </row>
    <row r="69" spans="1:30" ht="66" x14ac:dyDescent="0.25">
      <c r="A69" s="125" t="s">
        <v>109</v>
      </c>
      <c r="B69" s="115" t="s">
        <v>110</v>
      </c>
      <c r="C69" s="211">
        <f>SUM('7990NTP-NP'!K33*1)</f>
        <v>0</v>
      </c>
      <c r="D69" s="207">
        <f>'7990NTP-NP'!C33</f>
        <v>0</v>
      </c>
      <c r="E69" s="143" t="s">
        <v>109</v>
      </c>
      <c r="F69" s="138" t="s">
        <v>423</v>
      </c>
      <c r="G69" s="196">
        <f>SUM('7990NTP-NP'!L33*1)</f>
        <v>0</v>
      </c>
      <c r="H69" s="207">
        <f>'7990NTP-NP'!D33</f>
        <v>0</v>
      </c>
      <c r="I69" s="133" t="s">
        <v>109</v>
      </c>
      <c r="J69" s="115" t="s">
        <v>460</v>
      </c>
      <c r="K69" s="196">
        <f>SUM('7990NTP-NP'!M33*1)</f>
        <v>0</v>
      </c>
      <c r="L69" s="216">
        <f>'7990NTP-NP'!E33</f>
        <v>0</v>
      </c>
      <c r="M69" s="423" t="s">
        <v>286</v>
      </c>
      <c r="N69" s="422" t="s">
        <v>287</v>
      </c>
      <c r="O69" s="196">
        <f>SUM('7990NTP-NP'!N33*1)</f>
        <v>0</v>
      </c>
      <c r="P69" s="207">
        <f>'7990NTP-NP'!F33</f>
        <v>0</v>
      </c>
      <c r="Q69" s="423" t="s">
        <v>286</v>
      </c>
      <c r="R69" s="422" t="s">
        <v>287</v>
      </c>
      <c r="S69" s="196">
        <f>SUM('7990NTP-NP'!O33*1)</f>
        <v>0</v>
      </c>
      <c r="T69" s="207">
        <f>'7990NTP-NP'!G33</f>
        <v>0</v>
      </c>
      <c r="U69" s="423" t="s">
        <v>286</v>
      </c>
      <c r="V69" s="422" t="s">
        <v>287</v>
      </c>
      <c r="W69" s="196">
        <f>SUM('7990NTP-NP'!P33*1)</f>
        <v>0</v>
      </c>
      <c r="X69" s="207">
        <f>'7990NTP-NP'!H33</f>
        <v>0</v>
      </c>
      <c r="Y69" s="423" t="s">
        <v>286</v>
      </c>
      <c r="Z69" s="422" t="s">
        <v>287</v>
      </c>
      <c r="AA69" s="196">
        <f>SUM('7990NTP-NP'!Q33*1)</f>
        <v>0</v>
      </c>
      <c r="AB69" s="207">
        <f>'7990NTP-NP'!I33</f>
        <v>0</v>
      </c>
      <c r="AC69" s="199">
        <f>IF(C69+G69+K69+O69+S69+W69+AA69&gt;0,C69+G69+K69+O69+S69+W69+AA69,0)</f>
        <v>0</v>
      </c>
      <c r="AD69" s="153"/>
    </row>
    <row r="70" spans="1:30" ht="14.4" x14ac:dyDescent="0.3">
      <c r="A70" s="209"/>
      <c r="B70" s="195"/>
      <c r="C70" s="213"/>
      <c r="D70" s="212"/>
      <c r="E70" s="194"/>
      <c r="F70" s="195"/>
      <c r="G70" s="200"/>
      <c r="H70" s="212"/>
      <c r="I70" s="209"/>
      <c r="J70" s="195"/>
      <c r="K70" s="200"/>
      <c r="L70" s="215"/>
      <c r="M70" s="431"/>
      <c r="N70" s="425"/>
      <c r="O70" s="200"/>
      <c r="P70" s="212"/>
      <c r="Q70" s="194"/>
      <c r="R70" s="195"/>
      <c r="S70" s="200"/>
      <c r="T70" s="212"/>
      <c r="U70" s="194"/>
      <c r="V70" s="195"/>
      <c r="W70" s="200"/>
      <c r="X70" s="212"/>
      <c r="Y70" s="194"/>
      <c r="Z70" s="195"/>
      <c r="AA70" s="200"/>
      <c r="AB70" s="212"/>
      <c r="AC70" s="199"/>
      <c r="AD70" s="153"/>
    </row>
    <row r="71" spans="1:30" ht="76.5" customHeight="1" x14ac:dyDescent="0.25">
      <c r="A71" s="125" t="s">
        <v>401</v>
      </c>
      <c r="B71" s="115" t="s">
        <v>399</v>
      </c>
      <c r="C71" s="211">
        <f>ROUNDDOWN('7990NTP-NP'!K34-('7990NTP-NP'!K34*0.3066),2)</f>
        <v>0</v>
      </c>
      <c r="D71" s="207">
        <f>'7990NTP-NP'!C34</f>
        <v>0</v>
      </c>
      <c r="E71" s="143" t="s">
        <v>401</v>
      </c>
      <c r="F71" s="138" t="s">
        <v>424</v>
      </c>
      <c r="G71" s="196">
        <f>ROUNDDOWN('7990NTP-NP'!L34-('7990NTP-NP'!L34*0.3066),2)</f>
        <v>0</v>
      </c>
      <c r="H71" s="207">
        <f>'7990NTP-NP'!D34</f>
        <v>0</v>
      </c>
      <c r="I71" s="133" t="s">
        <v>401</v>
      </c>
      <c r="J71" s="115" t="s">
        <v>461</v>
      </c>
      <c r="K71" s="196">
        <f>ROUNDDOWN('7990NTP-NP'!M34-('7990NTP-NP'!M34*0.3066),2)</f>
        <v>0</v>
      </c>
      <c r="L71" s="216">
        <f>'7990NTP-NP'!E34</f>
        <v>0</v>
      </c>
      <c r="M71" s="423" t="s">
        <v>535</v>
      </c>
      <c r="N71" s="422" t="s">
        <v>399</v>
      </c>
      <c r="O71" s="196">
        <f>ROUNDDOWN('7990NTP-NP'!N34-('7990NTP-NP'!N34*0.3066),2)</f>
        <v>0</v>
      </c>
      <c r="P71" s="207">
        <f>'7990NTP-NP'!F34</f>
        <v>0</v>
      </c>
      <c r="Q71" s="423" t="s">
        <v>535</v>
      </c>
      <c r="R71" s="422" t="s">
        <v>399</v>
      </c>
      <c r="S71" s="196">
        <f>ROUNDDOWN('7990NTP-NP'!O34-('7990NTP-NP'!O34*0.3066),2)</f>
        <v>0</v>
      </c>
      <c r="T71" s="207">
        <f>'7990NTP-NP'!G34</f>
        <v>0</v>
      </c>
      <c r="U71" s="423" t="s">
        <v>535</v>
      </c>
      <c r="V71" s="422" t="s">
        <v>399</v>
      </c>
      <c r="W71" s="196">
        <f>ROUNDDOWN('7990NTP-NP'!P34-('7990NTP-NP'!P34*0.3066),2)</f>
        <v>0</v>
      </c>
      <c r="X71" s="207">
        <f>'7990NTP-NP'!H34</f>
        <v>0</v>
      </c>
      <c r="Y71" s="423" t="s">
        <v>535</v>
      </c>
      <c r="Z71" s="422" t="s">
        <v>399</v>
      </c>
      <c r="AA71" s="196">
        <f>ROUNDDOWN('7990NTP-NP'!Q34-('7990NTP-NP'!Q34*0.3066),2)</f>
        <v>0</v>
      </c>
      <c r="AB71" s="207">
        <f>'7990NTP-NP'!I34</f>
        <v>0</v>
      </c>
      <c r="AC71" s="199">
        <f>IF(C71+G71+K71+O71+S71+W71+AA71&gt;0,C71+G71+K71+O71+S71+W71+AA71,0)</f>
        <v>0</v>
      </c>
      <c r="AD71" s="153"/>
    </row>
    <row r="72" spans="1:30" ht="79.05" customHeight="1" x14ac:dyDescent="0.25">
      <c r="A72" s="125" t="s">
        <v>402</v>
      </c>
      <c r="B72" s="115" t="s">
        <v>400</v>
      </c>
      <c r="C72" s="211">
        <f>ROUNDUP('7990NTP-NP'!K34*0.3066,2)</f>
        <v>0</v>
      </c>
      <c r="D72" s="217"/>
      <c r="E72" s="143" t="s">
        <v>402</v>
      </c>
      <c r="F72" s="138" t="s">
        <v>425</v>
      </c>
      <c r="G72" s="196">
        <f>ROUNDUP('7990NTP-NP'!L34*0.3066,2)</f>
        <v>0</v>
      </c>
      <c r="H72" s="217"/>
      <c r="I72" s="133" t="s">
        <v>402</v>
      </c>
      <c r="J72" s="115" t="s">
        <v>462</v>
      </c>
      <c r="K72" s="196">
        <f>ROUNDUP('7990NTP-NP'!M34*0.3066,2)</f>
        <v>0</v>
      </c>
      <c r="L72" s="198"/>
      <c r="M72" s="423" t="s">
        <v>536</v>
      </c>
      <c r="N72" s="422" t="s">
        <v>537</v>
      </c>
      <c r="O72" s="196">
        <f>ROUNDUP('7990NTP-NP'!N34*0.3066,2)</f>
        <v>0</v>
      </c>
      <c r="P72" s="217"/>
      <c r="Q72" s="423" t="s">
        <v>536</v>
      </c>
      <c r="R72" s="422" t="s">
        <v>537</v>
      </c>
      <c r="S72" s="196">
        <f>ROUNDUP('7990NTP-NP'!O34*0.3066,2)</f>
        <v>0</v>
      </c>
      <c r="T72" s="217"/>
      <c r="U72" s="423" t="s">
        <v>536</v>
      </c>
      <c r="V72" s="422" t="s">
        <v>537</v>
      </c>
      <c r="W72" s="196">
        <f>ROUNDUP('7990NTP-NP'!P34*0.3066,2)</f>
        <v>0</v>
      </c>
      <c r="X72" s="217"/>
      <c r="Y72" s="423" t="s">
        <v>536</v>
      </c>
      <c r="Z72" s="422" t="s">
        <v>537</v>
      </c>
      <c r="AA72" s="196">
        <f>ROUNDUP('7990NTP-NP'!Q34*0.3066,2)</f>
        <v>0</v>
      </c>
      <c r="AB72" s="217"/>
      <c r="AC72" s="199">
        <f>IF(C72+G72+K72+O72+S72+W72+AA72&gt;0,C72+G72+K72+O72+S72+W72+AA72,0)</f>
        <v>0</v>
      </c>
      <c r="AD72" s="153"/>
    </row>
    <row r="73" spans="1:30" ht="14.4" x14ac:dyDescent="0.3">
      <c r="A73" s="194"/>
      <c r="B73" s="195"/>
      <c r="C73" s="213"/>
      <c r="D73" s="212"/>
      <c r="E73" s="194"/>
      <c r="F73" s="195"/>
      <c r="G73" s="200"/>
      <c r="H73" s="212"/>
      <c r="I73" s="209"/>
      <c r="J73" s="195"/>
      <c r="K73" s="200"/>
      <c r="L73" s="204"/>
      <c r="M73" s="431"/>
      <c r="N73" s="425"/>
      <c r="O73" s="200"/>
      <c r="P73" s="212"/>
      <c r="Q73" s="194"/>
      <c r="R73" s="195"/>
      <c r="S73" s="200"/>
      <c r="T73" s="212"/>
      <c r="U73" s="194"/>
      <c r="V73" s="195"/>
      <c r="W73" s="200"/>
      <c r="X73" s="212"/>
      <c r="Y73" s="194"/>
      <c r="Z73" s="195"/>
      <c r="AA73" s="200"/>
      <c r="AB73" s="212"/>
      <c r="AC73" s="199"/>
      <c r="AD73" s="153"/>
    </row>
    <row r="74" spans="1:30" ht="79.2" x14ac:dyDescent="0.25">
      <c r="A74" s="125" t="s">
        <v>116</v>
      </c>
      <c r="B74" s="115" t="s">
        <v>403</v>
      </c>
      <c r="C74" s="211">
        <f>SUM('7990NTP-NP'!K35*1)</f>
        <v>0</v>
      </c>
      <c r="D74" s="207">
        <f>'7990NTP-NP'!C35</f>
        <v>0</v>
      </c>
      <c r="E74" s="143" t="s">
        <v>116</v>
      </c>
      <c r="F74" s="138" t="s">
        <v>426</v>
      </c>
      <c r="G74" s="196">
        <f>SUM('7990NTP-NP'!L35*1)</f>
        <v>0</v>
      </c>
      <c r="H74" s="207">
        <f>'7990NTP-NP'!D35</f>
        <v>0</v>
      </c>
      <c r="I74" s="133" t="s">
        <v>116</v>
      </c>
      <c r="J74" s="115" t="s">
        <v>463</v>
      </c>
      <c r="K74" s="196">
        <f>SUM('7990NTP-NP'!M35*1)</f>
        <v>0</v>
      </c>
      <c r="L74" s="216">
        <f>'7990NTP-NP'!E35</f>
        <v>0</v>
      </c>
      <c r="M74" s="423" t="s">
        <v>278</v>
      </c>
      <c r="N74" s="422" t="s">
        <v>279</v>
      </c>
      <c r="O74" s="196">
        <f>SUM('7990NTP-NP'!N35*1)</f>
        <v>0</v>
      </c>
      <c r="P74" s="207">
        <f>'7990NTP-NP'!F35</f>
        <v>0</v>
      </c>
      <c r="Q74" s="423" t="s">
        <v>278</v>
      </c>
      <c r="R74" s="422" t="s">
        <v>279</v>
      </c>
      <c r="S74" s="196">
        <f>SUM('7990NTP-NP'!O35*1)</f>
        <v>0</v>
      </c>
      <c r="T74" s="207">
        <f>'7990NTP-NP'!G35</f>
        <v>0</v>
      </c>
      <c r="U74" s="423" t="s">
        <v>278</v>
      </c>
      <c r="V74" s="422" t="s">
        <v>279</v>
      </c>
      <c r="W74" s="196">
        <f>SUM('7990NTP-NP'!P35*1)</f>
        <v>0</v>
      </c>
      <c r="X74" s="207">
        <f>'7990NTP-NP'!H35</f>
        <v>0</v>
      </c>
      <c r="Y74" s="423" t="s">
        <v>278</v>
      </c>
      <c r="Z74" s="422" t="s">
        <v>279</v>
      </c>
      <c r="AA74" s="196">
        <f>SUM('7990NTP-NP'!Q35*1)</f>
        <v>0</v>
      </c>
      <c r="AB74" s="207">
        <f>'7990NTP-NP'!I35</f>
        <v>0</v>
      </c>
      <c r="AC74" s="199">
        <f>IF(C74+G74+K74+O74+S74+W74+AA74&gt;0,C74+G74+K74+O74+S74+W74+AA74,0)</f>
        <v>0</v>
      </c>
      <c r="AD74" s="153"/>
    </row>
    <row r="75" spans="1:30" ht="14.4" x14ac:dyDescent="0.3">
      <c r="A75" s="209"/>
      <c r="B75" s="220"/>
      <c r="C75" s="213"/>
      <c r="D75" s="212"/>
      <c r="E75" s="194"/>
      <c r="F75" s="221"/>
      <c r="G75" s="200"/>
      <c r="H75" s="212"/>
      <c r="I75" s="209"/>
      <c r="J75" s="220"/>
      <c r="K75" s="200"/>
      <c r="L75" s="215"/>
      <c r="M75" s="431"/>
      <c r="N75" s="425"/>
      <c r="O75" s="200"/>
      <c r="P75" s="212"/>
      <c r="Q75" s="194"/>
      <c r="R75" s="221"/>
      <c r="S75" s="200"/>
      <c r="T75" s="212"/>
      <c r="U75" s="194"/>
      <c r="V75" s="221"/>
      <c r="W75" s="200"/>
      <c r="X75" s="212"/>
      <c r="Y75" s="194"/>
      <c r="Z75" s="221"/>
      <c r="AA75" s="200"/>
      <c r="AB75" s="212"/>
      <c r="AC75" s="199"/>
      <c r="AD75" s="153"/>
    </row>
    <row r="76" spans="1:30" ht="90.45" customHeight="1" x14ac:dyDescent="0.25">
      <c r="A76" s="124" t="s">
        <v>176</v>
      </c>
      <c r="B76" s="115" t="s">
        <v>177</v>
      </c>
      <c r="C76" s="211">
        <f>ROUNDDOWN('7990NTP-NP'!$K$36-('7990NTP-NP'!$K$36*0.438),2)</f>
        <v>0</v>
      </c>
      <c r="D76" s="207">
        <f>'7990NTP-NP'!C36</f>
        <v>0</v>
      </c>
      <c r="E76" s="142" t="s">
        <v>176</v>
      </c>
      <c r="F76" s="138" t="s">
        <v>427</v>
      </c>
      <c r="G76" s="196">
        <f>ROUNDDOWN('7990NTP-NP'!$L$36-('7990NTP-NP'!$L$36*0.438),2)</f>
        <v>0</v>
      </c>
      <c r="H76" s="207">
        <f>'7990NTP-NP'!D36</f>
        <v>0</v>
      </c>
      <c r="I76" s="132" t="s">
        <v>176</v>
      </c>
      <c r="J76" s="115" t="s">
        <v>464</v>
      </c>
      <c r="K76" s="196">
        <f>ROUNDDOWN('7990NTP-NP'!$M$36-('7990NTP-NP'!$M$36*0.438),2)</f>
        <v>0</v>
      </c>
      <c r="L76" s="216">
        <f>'7990NTP-NP'!E36</f>
        <v>0</v>
      </c>
      <c r="M76" s="423" t="s">
        <v>176</v>
      </c>
      <c r="N76" s="422" t="s">
        <v>488</v>
      </c>
      <c r="O76" s="196">
        <f>ROUNDDOWN('7990NTP-NP'!$N$36-('7990NTP-NP'!$N$36*0.438),2)</f>
        <v>0</v>
      </c>
      <c r="P76" s="207">
        <f>'7990NTP-NP'!F36</f>
        <v>0</v>
      </c>
      <c r="Q76" s="142" t="s">
        <v>176</v>
      </c>
      <c r="R76" s="138" t="s">
        <v>496</v>
      </c>
      <c r="S76" s="196">
        <f>ROUNDDOWN('7990NTP-NP'!$O$36-('7990NTP-NP'!$O$36*0.438),2)</f>
        <v>0</v>
      </c>
      <c r="T76" s="207">
        <f>'7990NTP-NP'!G36</f>
        <v>0</v>
      </c>
      <c r="U76" s="142" t="s">
        <v>176</v>
      </c>
      <c r="V76" s="138" t="s">
        <v>504</v>
      </c>
      <c r="W76" s="196">
        <f>ROUNDDOWN('7990NTP-NP'!$P$36-('7990NTP-NP'!$P$36*0.438),2)</f>
        <v>0</v>
      </c>
      <c r="X76" s="207">
        <f>'7990NTP-NP'!H36</f>
        <v>0</v>
      </c>
      <c r="Y76" s="142" t="s">
        <v>176</v>
      </c>
      <c r="Z76" s="138" t="s">
        <v>512</v>
      </c>
      <c r="AA76" s="196">
        <f>ROUNDDOWN('7990NTP-NP'!$Q$36-('7990NTP-NP'!$Q$36*0.438),2)</f>
        <v>0</v>
      </c>
      <c r="AB76" s="207">
        <f>'7990NTP-NP'!I36</f>
        <v>0</v>
      </c>
      <c r="AC76" s="199">
        <f>IF(C76+G76+K76+O76+S76+W76+AA76&gt;0,C76+G76+K76+O76+S76+W76+AA76,0)</f>
        <v>0</v>
      </c>
      <c r="AD76" s="153"/>
    </row>
    <row r="77" spans="1:30" ht="93.45" customHeight="1" x14ac:dyDescent="0.25">
      <c r="A77" s="124" t="s">
        <v>178</v>
      </c>
      <c r="B77" s="115" t="s">
        <v>179</v>
      </c>
      <c r="C77" s="211">
        <f>ROUNDUP('7990NTP-NP'!$K$36*0.438,2)</f>
        <v>0</v>
      </c>
      <c r="D77" s="212"/>
      <c r="E77" s="142" t="s">
        <v>178</v>
      </c>
      <c r="F77" s="138" t="s">
        <v>428</v>
      </c>
      <c r="G77" s="196">
        <f>ROUNDUP('7990NTP-NP'!$L$36*0.438,2)</f>
        <v>0</v>
      </c>
      <c r="H77" s="212"/>
      <c r="I77" s="132" t="s">
        <v>178</v>
      </c>
      <c r="J77" s="115" t="s">
        <v>465</v>
      </c>
      <c r="K77" s="196">
        <f>ROUNDUP('7990NTP-NP'!$M$36*0.438,2)</f>
        <v>0</v>
      </c>
      <c r="L77" s="204"/>
      <c r="M77" s="423" t="s">
        <v>178</v>
      </c>
      <c r="N77" s="422" t="s">
        <v>489</v>
      </c>
      <c r="O77" s="196">
        <f>ROUNDUP('7990NTP-NP'!$N$36*0.438,2)</f>
        <v>0</v>
      </c>
      <c r="P77" s="212"/>
      <c r="Q77" s="142" t="s">
        <v>178</v>
      </c>
      <c r="R77" s="138" t="s">
        <v>497</v>
      </c>
      <c r="S77" s="196">
        <f>ROUNDUP('7990NTP-NP'!$O$36*0.438,2)</f>
        <v>0</v>
      </c>
      <c r="T77" s="212"/>
      <c r="U77" s="142" t="s">
        <v>178</v>
      </c>
      <c r="V77" s="138" t="s">
        <v>505</v>
      </c>
      <c r="W77" s="196">
        <f>ROUNDUP('7990NTP-NP'!$P$36*0.438,2)</f>
        <v>0</v>
      </c>
      <c r="X77" s="212"/>
      <c r="Y77" s="142" t="s">
        <v>178</v>
      </c>
      <c r="Z77" s="138" t="s">
        <v>513</v>
      </c>
      <c r="AA77" s="196">
        <f>ROUNDUP('7990NTP-NP'!$Q$36*0.438,2)</f>
        <v>0</v>
      </c>
      <c r="AB77" s="212"/>
      <c r="AC77" s="199">
        <f>IF(C77+G77+K77+O77+S77+W77+AA77&gt;0,C77+G77+K77+O77+S77+W77+AA77,0)</f>
        <v>0</v>
      </c>
      <c r="AD77" s="153"/>
    </row>
    <row r="78" spans="1:30" ht="14.4" x14ac:dyDescent="0.3">
      <c r="A78" s="194"/>
      <c r="B78" s="195"/>
      <c r="C78" s="213"/>
      <c r="D78" s="212"/>
      <c r="E78" s="194"/>
      <c r="F78" s="195"/>
      <c r="G78" s="200"/>
      <c r="H78" s="212"/>
      <c r="I78" s="209"/>
      <c r="J78" s="195"/>
      <c r="K78" s="200"/>
      <c r="L78" s="204"/>
      <c r="M78" s="431"/>
      <c r="N78" s="425"/>
      <c r="O78" s="200"/>
      <c r="P78" s="212"/>
      <c r="Q78" s="194"/>
      <c r="R78" s="195"/>
      <c r="S78" s="200"/>
      <c r="T78" s="212"/>
      <c r="U78" s="194"/>
      <c r="V78" s="195"/>
      <c r="W78" s="200"/>
      <c r="X78" s="212"/>
      <c r="Y78" s="194"/>
      <c r="Z78" s="195"/>
      <c r="AA78" s="200"/>
      <c r="AB78" s="212"/>
      <c r="AC78" s="199"/>
      <c r="AD78" s="153"/>
    </row>
    <row r="79" spans="1:30" ht="64.5" customHeight="1" x14ac:dyDescent="0.25">
      <c r="A79" s="123" t="s">
        <v>180</v>
      </c>
      <c r="B79" s="117" t="s">
        <v>181</v>
      </c>
      <c r="C79" s="211">
        <f>ROUNDDOWN('7990NTP-NP'!K37-('7990NTP-NP'!K37*0.1),2)</f>
        <v>0</v>
      </c>
      <c r="D79" s="207">
        <f>'7990NTP-NP'!C37</f>
        <v>0</v>
      </c>
      <c r="E79" s="141" t="s">
        <v>180</v>
      </c>
      <c r="F79" s="117" t="s">
        <v>181</v>
      </c>
      <c r="G79" s="196">
        <f>ROUNDDOWN('7990NTP-NP'!L37-('7990NTP-NP'!L37*0.1),2)</f>
        <v>0</v>
      </c>
      <c r="H79" s="207">
        <f>'7990NTP-NP'!D37</f>
        <v>0</v>
      </c>
      <c r="I79" s="126" t="s">
        <v>180</v>
      </c>
      <c r="J79" s="117" t="s">
        <v>181</v>
      </c>
      <c r="K79" s="196">
        <f>ROUNDDOWN('7990NTP-NP'!M37-('7990NTP-NP'!M37*0.1),2)</f>
        <v>0</v>
      </c>
      <c r="L79" s="216">
        <f>'7990NTP-NP'!E37</f>
        <v>0</v>
      </c>
      <c r="M79" s="423" t="s">
        <v>180</v>
      </c>
      <c r="N79" s="429" t="s">
        <v>181</v>
      </c>
      <c r="O79" s="196">
        <f>ROUNDDOWN('7990NTP-NP'!N37-('7990NTP-NP'!N37*0.1),2)</f>
        <v>0</v>
      </c>
      <c r="P79" s="207">
        <f>'7990NTP-NP'!F37</f>
        <v>0</v>
      </c>
      <c r="Q79" s="141" t="s">
        <v>180</v>
      </c>
      <c r="R79" s="117" t="s">
        <v>181</v>
      </c>
      <c r="S79" s="196">
        <f>ROUNDDOWN('7990NTP-NP'!O37-('7990NTP-NP'!O37*0.1),2)</f>
        <v>0</v>
      </c>
      <c r="T79" s="207">
        <f>'7990NTP-NP'!G37</f>
        <v>0</v>
      </c>
      <c r="U79" s="141" t="s">
        <v>180</v>
      </c>
      <c r="V79" s="117" t="s">
        <v>181</v>
      </c>
      <c r="W79" s="196">
        <f>ROUNDDOWN('7990NTP-NP'!P37-('7990NTP-NP'!P37*0.1),2)</f>
        <v>0</v>
      </c>
      <c r="X79" s="207">
        <f>'7990NTP-NP'!H37</f>
        <v>0</v>
      </c>
      <c r="Y79" s="141" t="s">
        <v>180</v>
      </c>
      <c r="Z79" s="117" t="s">
        <v>181</v>
      </c>
      <c r="AA79" s="196">
        <f>ROUNDDOWN('7990NTP-NP'!Q37-('7990NTP-NP'!Q37*0.1),2)</f>
        <v>0</v>
      </c>
      <c r="AB79" s="207">
        <f>'7990NTP-NP'!I37</f>
        <v>0</v>
      </c>
      <c r="AC79" s="199">
        <f>IF(C79+G79+K79+O79+S79+W79+AA79&gt;0,C79+G79+K79+O79+S79+W79+AA79,0)</f>
        <v>0</v>
      </c>
      <c r="AD79" s="153"/>
    </row>
    <row r="80" spans="1:30" ht="64.05" customHeight="1" x14ac:dyDescent="0.25">
      <c r="A80" s="123" t="s">
        <v>182</v>
      </c>
      <c r="B80" s="117" t="s">
        <v>404</v>
      </c>
      <c r="C80" s="211">
        <f>ROUNDUP('7990NTP-NP'!K37*0.1,2)</f>
        <v>0</v>
      </c>
      <c r="D80" s="217"/>
      <c r="E80" s="141" t="s">
        <v>182</v>
      </c>
      <c r="F80" s="117" t="s">
        <v>404</v>
      </c>
      <c r="G80" s="196">
        <f>ROUNDUP('7990NTP-NP'!L37*0.1,2)</f>
        <v>0</v>
      </c>
      <c r="H80" s="217"/>
      <c r="I80" s="126" t="s">
        <v>182</v>
      </c>
      <c r="J80" s="117" t="s">
        <v>404</v>
      </c>
      <c r="K80" s="196">
        <f>ROUNDUP('7990NTP-NP'!M37*0.1,2)</f>
        <v>0</v>
      </c>
      <c r="L80" s="198"/>
      <c r="M80" s="423" t="s">
        <v>182</v>
      </c>
      <c r="N80" s="429" t="s">
        <v>404</v>
      </c>
      <c r="O80" s="196">
        <f>ROUNDUP('7990NTP-NP'!N37*0.1,2)</f>
        <v>0</v>
      </c>
      <c r="P80" s="217"/>
      <c r="Q80" s="141" t="s">
        <v>182</v>
      </c>
      <c r="R80" s="117" t="s">
        <v>404</v>
      </c>
      <c r="S80" s="196">
        <f>ROUNDUP('7990NTP-NP'!O37*0.1,2)</f>
        <v>0</v>
      </c>
      <c r="T80" s="217"/>
      <c r="U80" s="141" t="s">
        <v>182</v>
      </c>
      <c r="V80" s="117" t="s">
        <v>404</v>
      </c>
      <c r="W80" s="196">
        <f>ROUNDUP('7990NTP-NP'!P37*0.1,2)</f>
        <v>0</v>
      </c>
      <c r="X80" s="217"/>
      <c r="Y80" s="141" t="s">
        <v>182</v>
      </c>
      <c r="Z80" s="117" t="s">
        <v>404</v>
      </c>
      <c r="AA80" s="196">
        <f>ROUNDUP('7990NTP-NP'!Q37*0.1,2)</f>
        <v>0</v>
      </c>
      <c r="AB80" s="217"/>
      <c r="AC80" s="199">
        <f>IF(C80+G80+K80+O80+S80+W80+AA80&gt;0,C80+G80+K80+O80+S80+W80+AA80,0)</f>
        <v>0</v>
      </c>
      <c r="AD80" s="153"/>
    </row>
    <row r="81" spans="1:30" ht="13.8" x14ac:dyDescent="0.25">
      <c r="A81" s="126"/>
      <c r="B81" s="117"/>
      <c r="C81" s="211"/>
      <c r="D81" s="217"/>
      <c r="E81" s="141"/>
      <c r="F81" s="117"/>
      <c r="G81" s="196"/>
      <c r="H81" s="217"/>
      <c r="I81" s="126"/>
      <c r="J81" s="117"/>
      <c r="K81" s="196"/>
      <c r="L81" s="222"/>
      <c r="M81" s="423"/>
      <c r="N81" s="429"/>
      <c r="O81" s="196"/>
      <c r="P81" s="217"/>
      <c r="Q81" s="141"/>
      <c r="R81" s="117"/>
      <c r="S81" s="196"/>
      <c r="T81" s="217"/>
      <c r="U81" s="141"/>
      <c r="V81" s="117"/>
      <c r="W81" s="196"/>
      <c r="X81" s="217"/>
      <c r="Y81" s="141"/>
      <c r="Z81" s="117"/>
      <c r="AA81" s="196"/>
      <c r="AB81" s="217"/>
      <c r="AC81" s="199"/>
      <c r="AD81" s="153"/>
    </row>
    <row r="82" spans="1:30" ht="79.2" x14ac:dyDescent="0.25">
      <c r="A82" s="125" t="s">
        <v>339</v>
      </c>
      <c r="B82" s="115" t="s">
        <v>183</v>
      </c>
      <c r="C82" s="211">
        <f>ROUNDDOWN('7990NTP-NP'!$K$38-('7990NTP-NP'!$K$38*0.438),2)</f>
        <v>0</v>
      </c>
      <c r="D82" s="207">
        <f>'7990NTP-NP'!C38</f>
        <v>0</v>
      </c>
      <c r="E82" s="143" t="s">
        <v>339</v>
      </c>
      <c r="F82" s="138" t="s">
        <v>429</v>
      </c>
      <c r="G82" s="196">
        <f>ROUNDDOWN('7990NTP-NP'!$L$38-('7990NTP-NP'!$L$38*0.438),2)</f>
        <v>0</v>
      </c>
      <c r="H82" s="207">
        <f>'7990NTP-NP'!D38</f>
        <v>0</v>
      </c>
      <c r="I82" s="133" t="s">
        <v>339</v>
      </c>
      <c r="J82" s="115" t="s">
        <v>466</v>
      </c>
      <c r="K82" s="196">
        <f>ROUNDDOWN('7990NTP-NP'!$M$38-('7990NTP-NP'!$M$38*0.438),2)</f>
        <v>0</v>
      </c>
      <c r="L82" s="216">
        <f>'7990NTP-NP'!E38</f>
        <v>0</v>
      </c>
      <c r="M82" s="423" t="s">
        <v>538</v>
      </c>
      <c r="N82" s="422" t="s">
        <v>183</v>
      </c>
      <c r="O82" s="196">
        <f>ROUNDDOWN('7990NTP-NP'!$N$38-('7990NTP-NP'!$N$38*0.438),2)</f>
        <v>0</v>
      </c>
      <c r="P82" s="207">
        <f>'7990NTP-NP'!F38</f>
        <v>0</v>
      </c>
      <c r="Q82" s="423" t="s">
        <v>538</v>
      </c>
      <c r="R82" s="422" t="s">
        <v>183</v>
      </c>
      <c r="S82" s="196">
        <f>ROUNDDOWN('7990NTP-NP'!$O$38-('7990NTP-NP'!$O$38*0.438),2)</f>
        <v>0</v>
      </c>
      <c r="T82" s="207">
        <f>'7990NTP-NP'!G38</f>
        <v>0</v>
      </c>
      <c r="U82" s="423" t="s">
        <v>538</v>
      </c>
      <c r="V82" s="422" t="s">
        <v>183</v>
      </c>
      <c r="W82" s="196">
        <f>ROUNDDOWN('7990NTP-NP'!$P$38-('7990NTP-NP'!$P$38*0.438),2)</f>
        <v>0</v>
      </c>
      <c r="X82" s="207">
        <f>'7990NTP-NP'!H38</f>
        <v>0</v>
      </c>
      <c r="Y82" s="423" t="s">
        <v>538</v>
      </c>
      <c r="Z82" s="422" t="s">
        <v>183</v>
      </c>
      <c r="AA82" s="196">
        <f>ROUNDDOWN('7990NTP-NP'!$Q$38-('7990NTP-NP'!$Q$38*0.438),2)</f>
        <v>0</v>
      </c>
      <c r="AB82" s="207">
        <f>'7990NTP-NP'!I38</f>
        <v>0</v>
      </c>
      <c r="AC82" s="199">
        <f>IF(C82+G82+K82+O82+S82+W82+AA82&gt;0,C82+G82+K82+O82+S82+W82+AA82,0)</f>
        <v>0</v>
      </c>
      <c r="AD82" s="153"/>
    </row>
    <row r="83" spans="1:30" ht="78" customHeight="1" x14ac:dyDescent="0.25">
      <c r="A83" s="125" t="s">
        <v>340</v>
      </c>
      <c r="B83" s="115" t="s">
        <v>328</v>
      </c>
      <c r="C83" s="211">
        <f>ROUNDUP('7990NTP-NP'!$K$38*0.438,2)</f>
        <v>0</v>
      </c>
      <c r="D83" s="212"/>
      <c r="E83" s="143" t="s">
        <v>340</v>
      </c>
      <c r="F83" s="138" t="s">
        <v>430</v>
      </c>
      <c r="G83" s="196">
        <f>ROUNDUP('7990NTP-NP'!$L$38*0.438,2)</f>
        <v>0</v>
      </c>
      <c r="H83" s="212"/>
      <c r="I83" s="133" t="s">
        <v>340</v>
      </c>
      <c r="J83" s="115" t="s">
        <v>467</v>
      </c>
      <c r="K83" s="196">
        <f>ROUNDUP('7990NTP-NP'!$M$38*0.438,2)</f>
        <v>0</v>
      </c>
      <c r="L83" s="204"/>
      <c r="M83" s="423" t="s">
        <v>539</v>
      </c>
      <c r="N83" s="422" t="s">
        <v>540</v>
      </c>
      <c r="O83" s="196">
        <f>ROUNDUP('7990NTP-NP'!$N$38*0.438,2)</f>
        <v>0</v>
      </c>
      <c r="P83" s="212"/>
      <c r="Q83" s="423" t="s">
        <v>539</v>
      </c>
      <c r="R83" s="422" t="s">
        <v>540</v>
      </c>
      <c r="S83" s="196">
        <f>ROUNDUP('7990NTP-NP'!$O$38*0.438,2)</f>
        <v>0</v>
      </c>
      <c r="T83" s="212"/>
      <c r="U83" s="423" t="s">
        <v>539</v>
      </c>
      <c r="V83" s="422" t="s">
        <v>540</v>
      </c>
      <c r="W83" s="196">
        <f>ROUNDUP('7990NTP-NP'!$P$38*0.438,2)</f>
        <v>0</v>
      </c>
      <c r="X83" s="212"/>
      <c r="Y83" s="423" t="s">
        <v>539</v>
      </c>
      <c r="Z83" s="422" t="s">
        <v>540</v>
      </c>
      <c r="AA83" s="196">
        <f>ROUNDUP('7990NTP-NP'!$Q$38*0.438,2)</f>
        <v>0</v>
      </c>
      <c r="AB83" s="212"/>
      <c r="AC83" s="199">
        <f>IF(C83+G83+K83+O83+S83+W83+AA83&gt;0,C83+G83+K83+O83+S83+W83+AA83,0)</f>
        <v>0</v>
      </c>
      <c r="AD83" s="153"/>
    </row>
    <row r="84" spans="1:30" ht="14.4" x14ac:dyDescent="0.3">
      <c r="A84" s="194"/>
      <c r="B84" s="195"/>
      <c r="C84" s="213"/>
      <c r="D84" s="212"/>
      <c r="E84" s="194"/>
      <c r="F84" s="195"/>
      <c r="G84" s="200"/>
      <c r="H84" s="212"/>
      <c r="I84" s="209"/>
      <c r="J84" s="195"/>
      <c r="K84" s="200"/>
      <c r="L84" s="204"/>
      <c r="M84" s="431"/>
      <c r="N84" s="425"/>
      <c r="O84" s="200"/>
      <c r="P84" s="212"/>
      <c r="Q84" s="194"/>
      <c r="R84" s="195"/>
      <c r="S84" s="200"/>
      <c r="T84" s="212"/>
      <c r="U84" s="194"/>
      <c r="V84" s="195"/>
      <c r="W84" s="200"/>
      <c r="X84" s="212"/>
      <c r="Y84" s="194"/>
      <c r="Z84" s="195"/>
      <c r="AA84" s="200"/>
      <c r="AB84" s="212"/>
      <c r="AC84" s="199"/>
      <c r="AD84" s="153"/>
    </row>
    <row r="85" spans="1:30" ht="78.45" customHeight="1" x14ac:dyDescent="0.25">
      <c r="A85" s="125" t="s">
        <v>272</v>
      </c>
      <c r="B85" s="115" t="s">
        <v>184</v>
      </c>
      <c r="C85" s="211">
        <f>ROUNDDOWN('7990NTP-NP'!K39-('7990NTP-NP'!K39*0.438),2)</f>
        <v>0</v>
      </c>
      <c r="D85" s="207">
        <f>'7990NTP-NP'!C39</f>
        <v>0</v>
      </c>
      <c r="E85" s="143" t="s">
        <v>272</v>
      </c>
      <c r="F85" s="138" t="s">
        <v>431</v>
      </c>
      <c r="G85" s="196">
        <f>ROUNDDOWN('7990NTP-NP'!L39-('7990NTP-NP'!L39*0.438),2)</f>
        <v>0</v>
      </c>
      <c r="H85" s="207">
        <f>'7990NTP-NP'!D39</f>
        <v>0</v>
      </c>
      <c r="I85" s="133" t="s">
        <v>272</v>
      </c>
      <c r="J85" s="115" t="s">
        <v>468</v>
      </c>
      <c r="K85" s="196">
        <f>ROUNDDOWN('7990NTP-NP'!M39-('7990NTP-NP'!M39*0.438),2)</f>
        <v>0</v>
      </c>
      <c r="L85" s="216">
        <f>'7990NTP-NP'!E39</f>
        <v>0</v>
      </c>
      <c r="M85" s="423" t="s">
        <v>541</v>
      </c>
      <c r="N85" s="422" t="s">
        <v>184</v>
      </c>
      <c r="O85" s="196">
        <f>ROUNDDOWN('7990NTP-NP'!N39-('7990NTP-NP'!N39*0.438),2)</f>
        <v>0</v>
      </c>
      <c r="P85" s="207">
        <f>'7990NTP-NP'!F39</f>
        <v>0</v>
      </c>
      <c r="Q85" s="423" t="s">
        <v>541</v>
      </c>
      <c r="R85" s="422" t="s">
        <v>184</v>
      </c>
      <c r="S85" s="196">
        <f>ROUNDDOWN('7990NTP-NP'!O39-('7990NTP-NP'!O39*0.438),2)</f>
        <v>0</v>
      </c>
      <c r="T85" s="207">
        <f>'7990NTP-NP'!G39</f>
        <v>0</v>
      </c>
      <c r="U85" s="423" t="s">
        <v>541</v>
      </c>
      <c r="V85" s="422" t="s">
        <v>184</v>
      </c>
      <c r="W85" s="196">
        <f>ROUNDDOWN('7990NTP-NP'!P39-('7990NTP-NP'!P39*0.438),2)</f>
        <v>0</v>
      </c>
      <c r="X85" s="207">
        <f>'7990NTP-NP'!H39</f>
        <v>0</v>
      </c>
      <c r="Y85" s="423" t="s">
        <v>541</v>
      </c>
      <c r="Z85" s="422" t="s">
        <v>184</v>
      </c>
      <c r="AA85" s="196">
        <f>ROUNDDOWN('7990NTP-NP'!Q39-('7990NTP-NP'!Q39*0.438),2)</f>
        <v>0</v>
      </c>
      <c r="AB85" s="207">
        <f>'7990NTP-NP'!I39</f>
        <v>0</v>
      </c>
      <c r="AC85" s="199">
        <f>IF(C85+G85+K85+O85+S85+W85+AA85&gt;0,C85+G85+K85+O85+S85+W85+AA85,0)</f>
        <v>0</v>
      </c>
      <c r="AD85" s="153"/>
    </row>
    <row r="86" spans="1:30" ht="79.5" customHeight="1" x14ac:dyDescent="0.25">
      <c r="A86" s="125" t="s">
        <v>271</v>
      </c>
      <c r="B86" s="115" t="s">
        <v>328</v>
      </c>
      <c r="C86" s="211">
        <f>ROUNDUP('7990NTP-NP'!K39*0.438,2)</f>
        <v>0</v>
      </c>
      <c r="D86" s="212"/>
      <c r="E86" s="143" t="s">
        <v>271</v>
      </c>
      <c r="F86" s="138" t="s">
        <v>430</v>
      </c>
      <c r="G86" s="196">
        <f>ROUNDUP('7990NTP-NP'!L39*0.438,2)</f>
        <v>0</v>
      </c>
      <c r="H86" s="212"/>
      <c r="I86" s="133" t="s">
        <v>271</v>
      </c>
      <c r="J86" s="115" t="s">
        <v>467</v>
      </c>
      <c r="K86" s="196">
        <f>ROUNDUP('7990NTP-NP'!M39*0.438,2)</f>
        <v>0</v>
      </c>
      <c r="L86" s="204"/>
      <c r="M86" s="423" t="s">
        <v>542</v>
      </c>
      <c r="N86" s="422" t="s">
        <v>540</v>
      </c>
      <c r="O86" s="196">
        <f>ROUNDUP('7990NTP-NP'!N39*0.438,2)</f>
        <v>0</v>
      </c>
      <c r="P86" s="212"/>
      <c r="Q86" s="423" t="s">
        <v>542</v>
      </c>
      <c r="R86" s="422" t="s">
        <v>540</v>
      </c>
      <c r="S86" s="196">
        <f>ROUNDUP('7990NTP-NP'!O39*0.438,2)</f>
        <v>0</v>
      </c>
      <c r="T86" s="212"/>
      <c r="U86" s="423" t="s">
        <v>542</v>
      </c>
      <c r="V86" s="422" t="s">
        <v>540</v>
      </c>
      <c r="W86" s="196">
        <f>ROUNDUP('7990NTP-NP'!P39*0.438,2)</f>
        <v>0</v>
      </c>
      <c r="X86" s="212"/>
      <c r="Y86" s="423" t="s">
        <v>542</v>
      </c>
      <c r="Z86" s="422" t="s">
        <v>540</v>
      </c>
      <c r="AA86" s="196">
        <f>ROUNDUP('7990NTP-NP'!Q39*0.438,2)</f>
        <v>0</v>
      </c>
      <c r="AB86" s="212"/>
      <c r="AC86" s="199">
        <f>IF(C86+G86+K86+O86+S86+W86+AA86&gt;0,C86+G86+K86+O86+S86+W86+AA86,0)</f>
        <v>0</v>
      </c>
      <c r="AD86" s="153"/>
    </row>
    <row r="87" spans="1:30" ht="14.4" x14ac:dyDescent="0.3">
      <c r="A87" s="194"/>
      <c r="B87" s="195"/>
      <c r="C87" s="213"/>
      <c r="D87" s="212"/>
      <c r="E87" s="194"/>
      <c r="F87" s="195"/>
      <c r="G87" s="200"/>
      <c r="H87" s="212"/>
      <c r="I87" s="209"/>
      <c r="J87" s="195"/>
      <c r="K87" s="200"/>
      <c r="L87" s="204"/>
      <c r="M87" s="431"/>
      <c r="N87" s="425"/>
      <c r="O87" s="200"/>
      <c r="P87" s="212"/>
      <c r="Q87" s="194"/>
      <c r="R87" s="195"/>
      <c r="S87" s="200"/>
      <c r="T87" s="212"/>
      <c r="U87" s="194"/>
      <c r="V87" s="195"/>
      <c r="W87" s="200"/>
      <c r="X87" s="212"/>
      <c r="Y87" s="194"/>
      <c r="Z87" s="195"/>
      <c r="AA87" s="200"/>
      <c r="AB87" s="212"/>
      <c r="AC87" s="199"/>
      <c r="AD87" s="153"/>
    </row>
    <row r="88" spans="1:30" ht="79.2" x14ac:dyDescent="0.25">
      <c r="A88" s="124" t="s">
        <v>111</v>
      </c>
      <c r="B88" s="115" t="s">
        <v>112</v>
      </c>
      <c r="C88" s="211">
        <f>SUM('7990NTP-NP'!K40*1)</f>
        <v>0</v>
      </c>
      <c r="D88" s="207">
        <f>'7990NTP-NP'!C40</f>
        <v>0</v>
      </c>
      <c r="E88" s="142" t="s">
        <v>111</v>
      </c>
      <c r="F88" s="138" t="s">
        <v>432</v>
      </c>
      <c r="G88" s="196">
        <f>SUM('7990NTP-NP'!L40*1)</f>
        <v>0</v>
      </c>
      <c r="H88" s="207">
        <f>'7990NTP-NP'!D40</f>
        <v>0</v>
      </c>
      <c r="I88" s="132" t="s">
        <v>111</v>
      </c>
      <c r="J88" s="115" t="s">
        <v>469</v>
      </c>
      <c r="K88" s="196">
        <f>SUM('7990NTP-NP'!M40*1)</f>
        <v>0</v>
      </c>
      <c r="L88" s="216">
        <f>'7990NTP-NP'!E40</f>
        <v>0</v>
      </c>
      <c r="M88" s="423" t="s">
        <v>288</v>
      </c>
      <c r="N88" s="422" t="s">
        <v>289</v>
      </c>
      <c r="O88" s="196">
        <f>SUM('7990NTP-NP'!N40*1)</f>
        <v>0</v>
      </c>
      <c r="P88" s="207">
        <f>'7990NTP-NP'!F40</f>
        <v>0</v>
      </c>
      <c r="Q88" s="423" t="s">
        <v>288</v>
      </c>
      <c r="R88" s="422" t="s">
        <v>289</v>
      </c>
      <c r="S88" s="196">
        <f>SUM('7990NTP-NP'!O40*1)</f>
        <v>0</v>
      </c>
      <c r="T88" s="207">
        <f>'7990NTP-NP'!G40</f>
        <v>0</v>
      </c>
      <c r="U88" s="423" t="s">
        <v>288</v>
      </c>
      <c r="V88" s="422" t="s">
        <v>289</v>
      </c>
      <c r="W88" s="196">
        <f>SUM('7990NTP-NP'!P40*1)</f>
        <v>0</v>
      </c>
      <c r="X88" s="207">
        <f>'7990NTP-NP'!H40</f>
        <v>0</v>
      </c>
      <c r="Y88" s="423" t="s">
        <v>288</v>
      </c>
      <c r="Z88" s="422" t="s">
        <v>289</v>
      </c>
      <c r="AA88" s="196">
        <f>SUM('7990NTP-NP'!Q40*1)</f>
        <v>0</v>
      </c>
      <c r="AB88" s="207">
        <f>'7990NTP-NP'!I40</f>
        <v>0</v>
      </c>
      <c r="AC88" s="199">
        <f>IF(C88+G88+K88+O88+S88+W88+AA88&gt;0,C88+G88+K88+O88+S88+W88+AA88,0)</f>
        <v>0</v>
      </c>
      <c r="AD88" s="153"/>
    </row>
    <row r="89" spans="1:30" ht="14.4" x14ac:dyDescent="0.3">
      <c r="A89" s="194"/>
      <c r="B89" s="195"/>
      <c r="C89" s="213"/>
      <c r="D89" s="212"/>
      <c r="E89" s="194"/>
      <c r="F89" s="195"/>
      <c r="G89" s="200"/>
      <c r="H89" s="212"/>
      <c r="I89" s="209"/>
      <c r="J89" s="195"/>
      <c r="K89" s="200"/>
      <c r="L89" s="215"/>
      <c r="M89" s="431"/>
      <c r="N89" s="425"/>
      <c r="O89" s="200"/>
      <c r="P89" s="212"/>
      <c r="Q89" s="194"/>
      <c r="R89" s="195"/>
      <c r="S89" s="200"/>
      <c r="T89" s="212"/>
      <c r="U89" s="194"/>
      <c r="V89" s="195"/>
      <c r="W89" s="200"/>
      <c r="X89" s="212"/>
      <c r="Y89" s="194"/>
      <c r="Z89" s="195"/>
      <c r="AA89" s="200"/>
      <c r="AB89" s="212"/>
      <c r="AC89" s="199"/>
      <c r="AD89" s="153"/>
    </row>
    <row r="90" spans="1:30" ht="96.6" x14ac:dyDescent="0.25">
      <c r="A90" s="474" t="s">
        <v>571</v>
      </c>
      <c r="B90" s="475" t="s">
        <v>566</v>
      </c>
      <c r="C90" s="211">
        <f>SUM('7990NTP-NP'!K41*1)</f>
        <v>0</v>
      </c>
      <c r="D90" s="207">
        <f>'7990NTP-NP'!C41</f>
        <v>0</v>
      </c>
      <c r="E90" s="474" t="s">
        <v>571</v>
      </c>
      <c r="F90" s="475" t="s">
        <v>566</v>
      </c>
      <c r="G90" s="196">
        <f>SUM('7990NTP-NP'!L41*1)</f>
        <v>0</v>
      </c>
      <c r="H90" s="207">
        <f>'7990NTP-NP'!D41</f>
        <v>0</v>
      </c>
      <c r="I90" s="474" t="s">
        <v>571</v>
      </c>
      <c r="J90" s="475" t="s">
        <v>566</v>
      </c>
      <c r="K90" s="196">
        <f>SUM('7990NTP-NP'!M41*1)</f>
        <v>0</v>
      </c>
      <c r="L90" s="216">
        <f>'7990NTP-NP'!E41</f>
        <v>0</v>
      </c>
      <c r="M90" s="476" t="s">
        <v>572</v>
      </c>
      <c r="N90" s="475" t="s">
        <v>573</v>
      </c>
      <c r="O90" s="196">
        <f>SUM('7990NTP-NP'!N41*1)</f>
        <v>0</v>
      </c>
      <c r="P90" s="207">
        <f>'7990NTP-NP'!F41</f>
        <v>0</v>
      </c>
      <c r="Q90" s="476" t="s">
        <v>572</v>
      </c>
      <c r="R90" s="475" t="s">
        <v>573</v>
      </c>
      <c r="S90" s="196">
        <f>SUM('7990NTP-NP'!O41*1)</f>
        <v>0</v>
      </c>
      <c r="T90" s="207">
        <f>'7990NTP-NP'!G41</f>
        <v>0</v>
      </c>
      <c r="U90" s="476" t="s">
        <v>572</v>
      </c>
      <c r="V90" s="475" t="s">
        <v>573</v>
      </c>
      <c r="W90" s="196">
        <f>SUM('7990NTP-NP'!P41*1)</f>
        <v>0</v>
      </c>
      <c r="X90" s="207">
        <f>'7990NTP-NP'!H41</f>
        <v>0</v>
      </c>
      <c r="Y90" s="476" t="s">
        <v>572</v>
      </c>
      <c r="Z90" s="475" t="s">
        <v>573</v>
      </c>
      <c r="AA90" s="196">
        <f>SUM('7990NTP-NP'!Q41*1)</f>
        <v>0</v>
      </c>
      <c r="AB90" s="207">
        <f>'7990NTP-NP'!I41</f>
        <v>0</v>
      </c>
      <c r="AC90" s="199">
        <f>IF(C90+G90+K90+O90+S90+W90+AA90&gt;0,C90+G90+K90+O90+S90+W90+AA90,0)</f>
        <v>0</v>
      </c>
      <c r="AD90" s="153"/>
    </row>
    <row r="91" spans="1:30" ht="14.4" x14ac:dyDescent="0.3">
      <c r="A91" s="469"/>
      <c r="B91" s="470"/>
      <c r="C91" s="464"/>
      <c r="D91" s="212"/>
      <c r="E91" s="471"/>
      <c r="F91" s="470"/>
      <c r="G91" s="465"/>
      <c r="H91" s="212"/>
      <c r="I91" s="469"/>
      <c r="J91" s="470"/>
      <c r="K91" s="465"/>
      <c r="L91" s="472"/>
      <c r="M91" s="431"/>
      <c r="N91" s="473"/>
      <c r="O91" s="465"/>
      <c r="P91" s="212"/>
      <c r="Q91" s="431"/>
      <c r="R91" s="473"/>
      <c r="S91" s="465"/>
      <c r="T91" s="212"/>
      <c r="U91" s="431"/>
      <c r="V91" s="473"/>
      <c r="W91" s="465"/>
      <c r="X91" s="212"/>
      <c r="Y91" s="431"/>
      <c r="Z91" s="473"/>
      <c r="AA91" s="465"/>
      <c r="AB91" s="212"/>
      <c r="AC91" s="445"/>
      <c r="AD91" s="153"/>
    </row>
    <row r="92" spans="1:30" ht="66" x14ac:dyDescent="0.25">
      <c r="A92" s="125" t="s">
        <v>341</v>
      </c>
      <c r="B92" s="115" t="s">
        <v>185</v>
      </c>
      <c r="C92" s="211">
        <f>ROUNDDOWN('7990NTP-NP'!K42-('7990NTP-NP'!K42*0.438),2)</f>
        <v>0</v>
      </c>
      <c r="D92" s="207">
        <f>'7990NTP-NP'!C42</f>
        <v>0</v>
      </c>
      <c r="E92" s="143" t="s">
        <v>341</v>
      </c>
      <c r="F92" s="138" t="s">
        <v>433</v>
      </c>
      <c r="G92" s="196">
        <f>ROUNDDOWN('7990NTP-NP'!L42-('7990NTP-NP'!L42*0.438),2)</f>
        <v>0</v>
      </c>
      <c r="H92" s="207">
        <f>'7990NTP-NP'!D42</f>
        <v>0</v>
      </c>
      <c r="I92" s="133" t="s">
        <v>341</v>
      </c>
      <c r="J92" s="115" t="s">
        <v>470</v>
      </c>
      <c r="K92" s="196">
        <f>ROUNDDOWN('7990NTP-NP'!M42-('7990NTP-NP'!M42*0.438),2)</f>
        <v>0</v>
      </c>
      <c r="L92" s="216">
        <f>'7990NTP-NP'!E42</f>
        <v>0</v>
      </c>
      <c r="M92" s="423" t="s">
        <v>543</v>
      </c>
      <c r="N92" s="422" t="s">
        <v>185</v>
      </c>
      <c r="O92" s="196">
        <f>ROUNDDOWN('7990NTP-NP'!N42-('7990NTP-NP'!N42*0.438),2)</f>
        <v>0</v>
      </c>
      <c r="P92" s="207">
        <f>'7990NTP-NP'!F42</f>
        <v>0</v>
      </c>
      <c r="Q92" s="423" t="s">
        <v>543</v>
      </c>
      <c r="R92" s="422" t="s">
        <v>185</v>
      </c>
      <c r="S92" s="196">
        <f>ROUNDDOWN('7990NTP-NP'!O42-('7990NTP-NP'!O42*0.438),2)</f>
        <v>0</v>
      </c>
      <c r="T92" s="207">
        <f>'7990NTP-NP'!G42</f>
        <v>0</v>
      </c>
      <c r="U92" s="423" t="s">
        <v>543</v>
      </c>
      <c r="V92" s="422" t="s">
        <v>185</v>
      </c>
      <c r="W92" s="196">
        <f>ROUNDDOWN('7990NTP-NP'!P42-('7990NTP-NP'!P42*0.438),2)</f>
        <v>0</v>
      </c>
      <c r="X92" s="207">
        <f>'7990NTP-NP'!H42</f>
        <v>0</v>
      </c>
      <c r="Y92" s="423" t="s">
        <v>543</v>
      </c>
      <c r="Z92" s="422" t="s">
        <v>185</v>
      </c>
      <c r="AA92" s="196">
        <f>ROUNDDOWN('7990NTP-NP'!Q42-('7990NTP-NP'!Q42*0.438),2)</f>
        <v>0</v>
      </c>
      <c r="AB92" s="207">
        <f>'7990NTP-NP'!I42</f>
        <v>0</v>
      </c>
      <c r="AC92" s="199">
        <f>IF(C92+G92+K92+O92+S92+W92+AA92&gt;0,C92+G92+K92+O92+S92+W92+AA92,0)</f>
        <v>0</v>
      </c>
      <c r="AD92" s="153"/>
    </row>
    <row r="93" spans="1:30" ht="66" x14ac:dyDescent="0.25">
      <c r="A93" s="125" t="s">
        <v>342</v>
      </c>
      <c r="B93" s="115" t="s">
        <v>343</v>
      </c>
      <c r="C93" s="211">
        <f>ROUNDUP('7990NTP-NP'!K42*0.438,2)</f>
        <v>0</v>
      </c>
      <c r="D93" s="217"/>
      <c r="E93" s="143" t="s">
        <v>342</v>
      </c>
      <c r="F93" s="138" t="s">
        <v>434</v>
      </c>
      <c r="G93" s="196">
        <f>ROUNDUP('7990NTP-NP'!L42*0.438,2)</f>
        <v>0</v>
      </c>
      <c r="H93" s="217"/>
      <c r="I93" s="133" t="s">
        <v>342</v>
      </c>
      <c r="J93" s="115" t="s">
        <v>471</v>
      </c>
      <c r="K93" s="196">
        <f>ROUNDUP('7990NTP-NP'!M42*0.438,2)</f>
        <v>0</v>
      </c>
      <c r="L93" s="198"/>
      <c r="M93" s="423" t="s">
        <v>544</v>
      </c>
      <c r="N93" s="422" t="s">
        <v>545</v>
      </c>
      <c r="O93" s="196">
        <f>ROUNDUP('7990NTP-NP'!N42*0.438,2)</f>
        <v>0</v>
      </c>
      <c r="P93" s="217"/>
      <c r="Q93" s="423" t="s">
        <v>544</v>
      </c>
      <c r="R93" s="422" t="s">
        <v>545</v>
      </c>
      <c r="S93" s="196">
        <f>ROUNDUP('7990NTP-NP'!O42*0.438,2)</f>
        <v>0</v>
      </c>
      <c r="T93" s="217"/>
      <c r="U93" s="423" t="s">
        <v>544</v>
      </c>
      <c r="V93" s="422" t="s">
        <v>545</v>
      </c>
      <c r="W93" s="196">
        <f>ROUNDUP('7990NTP-NP'!P42*0.438,2)</f>
        <v>0</v>
      </c>
      <c r="X93" s="217"/>
      <c r="Y93" s="423" t="s">
        <v>544</v>
      </c>
      <c r="Z93" s="422" t="s">
        <v>545</v>
      </c>
      <c r="AA93" s="196">
        <f>ROUNDUP('7990NTP-NP'!Q42*0.438,2)</f>
        <v>0</v>
      </c>
      <c r="AB93" s="217"/>
      <c r="AC93" s="199">
        <f>IF(C93+G93+K93+O93+S93+W93+AA93&gt;0,C93+G93+K93+O93+S93+W93+AA93,0)</f>
        <v>0</v>
      </c>
      <c r="AD93" s="153"/>
    </row>
    <row r="94" spans="1:30" ht="14.4" x14ac:dyDescent="0.3">
      <c r="A94" s="194"/>
      <c r="B94" s="195"/>
      <c r="C94" s="213"/>
      <c r="D94" s="212"/>
      <c r="E94" s="194"/>
      <c r="F94" s="195"/>
      <c r="G94" s="200"/>
      <c r="H94" s="212"/>
      <c r="I94" s="209"/>
      <c r="J94" s="195"/>
      <c r="K94" s="200"/>
      <c r="L94" s="204"/>
      <c r="M94" s="431"/>
      <c r="N94" s="425"/>
      <c r="O94" s="200"/>
      <c r="P94" s="212"/>
      <c r="Q94" s="194"/>
      <c r="R94" s="195"/>
      <c r="S94" s="200"/>
      <c r="T94" s="212"/>
      <c r="U94" s="194"/>
      <c r="V94" s="195"/>
      <c r="W94" s="200"/>
      <c r="X94" s="212"/>
      <c r="Y94" s="194"/>
      <c r="Z94" s="195"/>
      <c r="AA94" s="200"/>
      <c r="AB94" s="212"/>
      <c r="AC94" s="199"/>
      <c r="AD94" s="153"/>
    </row>
    <row r="95" spans="1:30" ht="66" x14ac:dyDescent="0.25">
      <c r="A95" s="223" t="s">
        <v>113</v>
      </c>
      <c r="B95" s="116" t="s">
        <v>114</v>
      </c>
      <c r="C95" s="211">
        <f>SUM('7990NTP-NP'!K43*1)</f>
        <v>0</v>
      </c>
      <c r="D95" s="207">
        <f>'7990NTP-NP'!C43</f>
        <v>0</v>
      </c>
      <c r="E95" s="224" t="s">
        <v>113</v>
      </c>
      <c r="F95" s="140" t="s">
        <v>435</v>
      </c>
      <c r="G95" s="196">
        <f>SUM('7990NTP-NP'!L43*1)</f>
        <v>0</v>
      </c>
      <c r="H95" s="207">
        <f>'7990NTP-NP'!D43</f>
        <v>0</v>
      </c>
      <c r="I95" s="225" t="s">
        <v>113</v>
      </c>
      <c r="J95" s="116" t="s">
        <v>472</v>
      </c>
      <c r="K95" s="196">
        <f>SUM('7990NTP-NP'!M43*1)</f>
        <v>0</v>
      </c>
      <c r="L95" s="216">
        <f>'7990NTP-NP'!E43</f>
        <v>0</v>
      </c>
      <c r="M95" s="436" t="s">
        <v>290</v>
      </c>
      <c r="N95" s="426" t="s">
        <v>291</v>
      </c>
      <c r="O95" s="196">
        <f>SUM('7990NTP-NP'!N43*1)</f>
        <v>0</v>
      </c>
      <c r="P95" s="207">
        <f>'7990NTP-NP'!F43</f>
        <v>0</v>
      </c>
      <c r="Q95" s="436" t="s">
        <v>290</v>
      </c>
      <c r="R95" s="426" t="s">
        <v>291</v>
      </c>
      <c r="S95" s="196">
        <f>SUM('7990NTP-NP'!O43*1)</f>
        <v>0</v>
      </c>
      <c r="T95" s="207">
        <f>'7990NTP-NP'!G43</f>
        <v>0</v>
      </c>
      <c r="U95" s="436" t="s">
        <v>290</v>
      </c>
      <c r="V95" s="426" t="s">
        <v>291</v>
      </c>
      <c r="W95" s="196">
        <f>SUM('7990NTP-NP'!P43*1)</f>
        <v>0</v>
      </c>
      <c r="X95" s="207">
        <f>'7990NTP-NP'!H43</f>
        <v>0</v>
      </c>
      <c r="Y95" s="436" t="s">
        <v>290</v>
      </c>
      <c r="Z95" s="426" t="s">
        <v>291</v>
      </c>
      <c r="AA95" s="196">
        <f>SUM('7990NTP-NP'!Q43*1)</f>
        <v>0</v>
      </c>
      <c r="AB95" s="207">
        <f>'7990NTP-NP'!I43</f>
        <v>0</v>
      </c>
      <c r="AC95" s="199">
        <f>IF(C95+G95+K95+O95+S95+W95+AA95&gt;0,C95+G95+K95+O95+S95+W95+AA95,0)</f>
        <v>0</v>
      </c>
      <c r="AD95" s="153"/>
    </row>
    <row r="96" spans="1:30" ht="14.4" x14ac:dyDescent="0.3">
      <c r="A96" s="209"/>
      <c r="B96" s="195"/>
      <c r="C96" s="213"/>
      <c r="D96" s="212"/>
      <c r="E96" s="194"/>
      <c r="F96" s="195"/>
      <c r="G96" s="200"/>
      <c r="H96" s="212"/>
      <c r="I96" s="209"/>
      <c r="J96" s="195"/>
      <c r="K96" s="200"/>
      <c r="L96" s="215"/>
      <c r="M96" s="431"/>
      <c r="N96" s="425"/>
      <c r="O96" s="200"/>
      <c r="P96" s="212"/>
      <c r="Q96" s="194"/>
      <c r="R96" s="195"/>
      <c r="S96" s="200"/>
      <c r="T96" s="212"/>
      <c r="U96" s="194"/>
      <c r="V96" s="195"/>
      <c r="W96" s="200"/>
      <c r="X96" s="212"/>
      <c r="Y96" s="194"/>
      <c r="Z96" s="195"/>
      <c r="AA96" s="200"/>
      <c r="AB96" s="212"/>
      <c r="AC96" s="199"/>
      <c r="AD96" s="153"/>
    </row>
    <row r="97" spans="1:30" ht="82.8" x14ac:dyDescent="0.25">
      <c r="A97" s="449" t="s">
        <v>565</v>
      </c>
      <c r="B97" s="446" t="s">
        <v>564</v>
      </c>
      <c r="C97" s="211">
        <f>SUM('7990NTP-NP'!K44*1)</f>
        <v>0</v>
      </c>
      <c r="D97" s="207">
        <f>'7990NTP-NP'!C44</f>
        <v>0</v>
      </c>
      <c r="E97" s="449" t="s">
        <v>565</v>
      </c>
      <c r="F97" s="446" t="s">
        <v>564</v>
      </c>
      <c r="G97" s="211">
        <f>SUM('7990NTP-NP'!L44*1)</f>
        <v>0</v>
      </c>
      <c r="H97" s="207">
        <f>'7990NTP-NP'!D44</f>
        <v>0</v>
      </c>
      <c r="I97" s="449" t="s">
        <v>565</v>
      </c>
      <c r="J97" s="446" t="s">
        <v>564</v>
      </c>
      <c r="K97" s="211">
        <f>SUM('7990NTP-NP'!M44*1)</f>
        <v>0</v>
      </c>
      <c r="L97" s="207">
        <f>'7990NTP-NP'!E44</f>
        <v>0</v>
      </c>
      <c r="M97" s="449" t="s">
        <v>563</v>
      </c>
      <c r="N97" s="446" t="s">
        <v>559</v>
      </c>
      <c r="O97" s="211">
        <f>SUM('7990NTP-NP'!N44*1)</f>
        <v>0</v>
      </c>
      <c r="P97" s="207">
        <f>'7990NTP-NP'!F44</f>
        <v>0</v>
      </c>
      <c r="Q97" s="449" t="s">
        <v>563</v>
      </c>
      <c r="R97" s="446" t="s">
        <v>559</v>
      </c>
      <c r="S97" s="211">
        <f>SUM('7990NTP-NP'!O44*1)</f>
        <v>0</v>
      </c>
      <c r="T97" s="207">
        <f>'7990NTP-NP'!G44</f>
        <v>0</v>
      </c>
      <c r="U97" s="449" t="s">
        <v>563</v>
      </c>
      <c r="V97" s="446" t="s">
        <v>559</v>
      </c>
      <c r="W97" s="211">
        <f>SUM('7990NTP-NP'!P44*1)</f>
        <v>0</v>
      </c>
      <c r="X97" s="207">
        <f>'7990NTP-NP'!H44</f>
        <v>0</v>
      </c>
      <c r="Y97" s="449" t="s">
        <v>563</v>
      </c>
      <c r="Z97" s="446" t="s">
        <v>559</v>
      </c>
      <c r="AA97" s="211">
        <f>SUM('7990NTP-NP'!Q44*1)</f>
        <v>0</v>
      </c>
      <c r="AB97" s="207">
        <f>'7990NTP-NP'!I44</f>
        <v>0</v>
      </c>
      <c r="AC97" s="199">
        <f>IF(C97+G97+K97+O97+S97+W97+AA97&gt;0,C97+G97+K97+O97+S97+W97+AA97,0)</f>
        <v>0</v>
      </c>
      <c r="AD97" s="153"/>
    </row>
    <row r="98" spans="1:30" ht="14.4" x14ac:dyDescent="0.3">
      <c r="A98" s="453"/>
      <c r="B98" s="454"/>
      <c r="C98" s="455"/>
      <c r="D98" s="212"/>
      <c r="E98" s="453"/>
      <c r="F98" s="454"/>
      <c r="G98" s="455"/>
      <c r="H98" s="212"/>
      <c r="I98" s="453"/>
      <c r="J98" s="454"/>
      <c r="K98" s="455"/>
      <c r="L98" s="212"/>
      <c r="M98" s="453"/>
      <c r="N98" s="454"/>
      <c r="O98" s="455"/>
      <c r="P98" s="212"/>
      <c r="Q98" s="453"/>
      <c r="R98" s="454"/>
      <c r="S98" s="455"/>
      <c r="T98" s="212"/>
      <c r="U98" s="453"/>
      <c r="V98" s="454"/>
      <c r="W98" s="455"/>
      <c r="X98" s="212"/>
      <c r="Y98" s="453"/>
      <c r="Z98" s="454"/>
      <c r="AA98" s="455"/>
      <c r="AB98" s="212"/>
      <c r="AC98" s="445"/>
      <c r="AD98" s="153"/>
    </row>
    <row r="99" spans="1:30" ht="67.95" customHeight="1" x14ac:dyDescent="0.25">
      <c r="A99" s="125" t="s">
        <v>344</v>
      </c>
      <c r="B99" s="115" t="s">
        <v>186</v>
      </c>
      <c r="C99" s="211">
        <f>ROUNDDOWN('7990NTP-NP'!$K$45-('7990NTP-NP'!$K$45*0.3066),2)</f>
        <v>0</v>
      </c>
      <c r="D99" s="207">
        <f>'7990NTP-NP'!C45</f>
        <v>0</v>
      </c>
      <c r="E99" s="143" t="s">
        <v>344</v>
      </c>
      <c r="F99" s="138" t="s">
        <v>436</v>
      </c>
      <c r="G99" s="196">
        <f>ROUNDDOWN('7990NTP-NP'!$L$45-('7990NTP-NP'!$L$45*0.3066),2)</f>
        <v>0</v>
      </c>
      <c r="H99" s="207">
        <f>'7990NTP-NP'!D45</f>
        <v>0</v>
      </c>
      <c r="I99" s="133" t="s">
        <v>344</v>
      </c>
      <c r="J99" s="115" t="s">
        <v>473</v>
      </c>
      <c r="K99" s="196">
        <f>ROUNDDOWN('7990NTP-NP'!$M$45-('7990NTP-NP'!$M$45*0.3066),2)</f>
        <v>0</v>
      </c>
      <c r="L99" s="216">
        <f>'7990NTP-NP'!E45</f>
        <v>0</v>
      </c>
      <c r="M99" s="423" t="s">
        <v>546</v>
      </c>
      <c r="N99" s="422" t="s">
        <v>186</v>
      </c>
      <c r="O99" s="196">
        <f>ROUNDDOWN('7990NTP-NP'!$N$45-('7990NTP-NP'!$N$45*0.3066),2)</f>
        <v>0</v>
      </c>
      <c r="P99" s="207">
        <f>'7990NTP-NP'!F45</f>
        <v>0</v>
      </c>
      <c r="Q99" s="423" t="s">
        <v>546</v>
      </c>
      <c r="R99" s="422" t="s">
        <v>186</v>
      </c>
      <c r="S99" s="196">
        <f>ROUNDDOWN('7990NTP-NP'!$O$45-('7990NTP-NP'!$O$45*0.3066),2)</f>
        <v>0</v>
      </c>
      <c r="T99" s="207">
        <f>'7990NTP-NP'!G45</f>
        <v>0</v>
      </c>
      <c r="U99" s="423" t="s">
        <v>546</v>
      </c>
      <c r="V99" s="422" t="s">
        <v>186</v>
      </c>
      <c r="W99" s="196">
        <f>ROUNDDOWN('7990NTP-NP'!$P$45-('7990NTP-NP'!$P$45*0.3066),2)</f>
        <v>0</v>
      </c>
      <c r="X99" s="207">
        <f>'7990NTP-NP'!H45</f>
        <v>0</v>
      </c>
      <c r="Y99" s="423" t="s">
        <v>546</v>
      </c>
      <c r="Z99" s="422" t="s">
        <v>186</v>
      </c>
      <c r="AA99" s="196">
        <f>ROUNDDOWN('7990NTP-NP'!$Q$45-('7990NTP-NP'!$Q$45*0.3066),2)</f>
        <v>0</v>
      </c>
      <c r="AB99" s="207">
        <f>'7990NTP-NP'!I45</f>
        <v>0</v>
      </c>
      <c r="AC99" s="199">
        <f>IF(C99+G99+K99+O99+S99+W99+AA99&gt;0,C99+G99+K99+O99+S99+W99+AA99,0)</f>
        <v>0</v>
      </c>
      <c r="AD99" s="153"/>
    </row>
    <row r="100" spans="1:30" ht="73.05" customHeight="1" x14ac:dyDescent="0.25">
      <c r="A100" s="125" t="s">
        <v>345</v>
      </c>
      <c r="B100" s="115" t="s">
        <v>346</v>
      </c>
      <c r="C100" s="211">
        <f>ROUNDUP('7990NTP-NP'!$K$45*0.3066,2)</f>
        <v>0</v>
      </c>
      <c r="D100" s="212"/>
      <c r="E100" s="143" t="s">
        <v>345</v>
      </c>
      <c r="F100" s="138" t="s">
        <v>437</v>
      </c>
      <c r="G100" s="196">
        <f>ROUNDUP('7990NTP-NP'!$L$45*0.3066,2)</f>
        <v>0</v>
      </c>
      <c r="H100" s="212"/>
      <c r="I100" s="133" t="s">
        <v>345</v>
      </c>
      <c r="J100" s="115" t="s">
        <v>474</v>
      </c>
      <c r="K100" s="196">
        <f>ROUNDUP('7990NTP-NP'!$M$45*0.3066,2)</f>
        <v>0</v>
      </c>
      <c r="L100" s="204"/>
      <c r="M100" s="423" t="s">
        <v>547</v>
      </c>
      <c r="N100" s="422" t="s">
        <v>548</v>
      </c>
      <c r="O100" s="196">
        <f>ROUNDUP('7990NTP-NP'!$N$45*0.3066,2)</f>
        <v>0</v>
      </c>
      <c r="P100" s="212"/>
      <c r="Q100" s="423" t="s">
        <v>547</v>
      </c>
      <c r="R100" s="422" t="s">
        <v>548</v>
      </c>
      <c r="S100" s="196">
        <f>ROUNDUP('7990NTP-NP'!$O$45*0.3066,2)</f>
        <v>0</v>
      </c>
      <c r="T100" s="212"/>
      <c r="U100" s="423" t="s">
        <v>547</v>
      </c>
      <c r="V100" s="422" t="s">
        <v>548</v>
      </c>
      <c r="W100" s="196">
        <f>ROUNDUP('7990NTP-NP'!$P$45*0.3066,2)</f>
        <v>0</v>
      </c>
      <c r="X100" s="212"/>
      <c r="Y100" s="423" t="s">
        <v>547</v>
      </c>
      <c r="Z100" s="422" t="s">
        <v>548</v>
      </c>
      <c r="AA100" s="196">
        <f>ROUNDUP('7990NTP-NP'!$Q$45*0.3066,2)</f>
        <v>0</v>
      </c>
      <c r="AB100" s="212"/>
      <c r="AC100" s="199">
        <f>IF(C100+G100+K100+O100+S100+W100+AA100&gt;0,C100+G100+K100+O100+S100+W100+AA100,0)</f>
        <v>0</v>
      </c>
      <c r="AD100" s="153"/>
    </row>
    <row r="101" spans="1:30" ht="14.4" x14ac:dyDescent="0.3">
      <c r="A101" s="226"/>
      <c r="B101" s="195"/>
      <c r="C101" s="213"/>
      <c r="D101" s="212"/>
      <c r="E101" s="194"/>
      <c r="F101" s="195"/>
      <c r="G101" s="200"/>
      <c r="H101" s="212"/>
      <c r="I101" s="209"/>
      <c r="J101" s="195"/>
      <c r="K101" s="200"/>
      <c r="L101" s="204"/>
      <c r="M101" s="431"/>
      <c r="N101" s="425"/>
      <c r="O101" s="200"/>
      <c r="P101" s="212"/>
      <c r="Q101" s="194"/>
      <c r="R101" s="195"/>
      <c r="S101" s="200"/>
      <c r="T101" s="212"/>
      <c r="U101" s="194"/>
      <c r="V101" s="195"/>
      <c r="W101" s="200"/>
      <c r="X101" s="212"/>
      <c r="Y101" s="194"/>
      <c r="Z101" s="195"/>
      <c r="AA101" s="200"/>
      <c r="AB101" s="212"/>
      <c r="AC101" s="199"/>
      <c r="AD101" s="153"/>
    </row>
    <row r="102" spans="1:30" ht="52.8" x14ac:dyDescent="0.25">
      <c r="A102" s="123" t="s">
        <v>219</v>
      </c>
      <c r="B102" s="115" t="s">
        <v>405</v>
      </c>
      <c r="C102" s="211">
        <f>ROUNDDOWN('7990NTP-NP'!$K$46-('7990NTP-NP'!$K$46*0.1),2)</f>
        <v>0</v>
      </c>
      <c r="D102" s="207">
        <f>'7990NTP-NP'!C46</f>
        <v>0</v>
      </c>
      <c r="E102" s="141" t="s">
        <v>219</v>
      </c>
      <c r="F102" s="138" t="s">
        <v>438</v>
      </c>
      <c r="G102" s="196">
        <f>ROUNDDOWN('7990NTP-NP'!$L$46-('7990NTP-NP'!$L$46*0.1),2)</f>
        <v>0</v>
      </c>
      <c r="H102" s="207">
        <f>'7990NTP-NP'!D46</f>
        <v>0</v>
      </c>
      <c r="I102" s="126" t="s">
        <v>219</v>
      </c>
      <c r="J102" s="115" t="s">
        <v>475</v>
      </c>
      <c r="K102" s="196">
        <f>ROUNDDOWN('7990NTP-NP'!$M$46-('7990NTP-NP'!$M$46*0.1),2)</f>
        <v>0</v>
      </c>
      <c r="L102" s="216">
        <f>'7990NTP-NP'!E46</f>
        <v>0</v>
      </c>
      <c r="M102" s="423" t="s">
        <v>324</v>
      </c>
      <c r="N102" s="424" t="s">
        <v>326</v>
      </c>
      <c r="O102" s="196">
        <f>ROUNDDOWN('7990NTP-NP'!$N$46-('7990NTP-NP'!$N$46*0.1),2)</f>
        <v>0</v>
      </c>
      <c r="P102" s="207">
        <f>'7990NTP-NP'!F46</f>
        <v>0</v>
      </c>
      <c r="Q102" s="423" t="s">
        <v>324</v>
      </c>
      <c r="R102" s="424" t="s">
        <v>326</v>
      </c>
      <c r="S102" s="196">
        <f>ROUNDDOWN('7990NTP-NP'!$O$46-('7990NTP-NP'!$O$46*0.1),2)</f>
        <v>0</v>
      </c>
      <c r="T102" s="207">
        <f>'7990NTP-NP'!G46</f>
        <v>0</v>
      </c>
      <c r="U102" s="423" t="s">
        <v>324</v>
      </c>
      <c r="V102" s="424" t="s">
        <v>326</v>
      </c>
      <c r="W102" s="196">
        <f>ROUNDDOWN('7990NTP-NP'!$P$46-('7990NTP-NP'!$P$46*0.1),2)</f>
        <v>0</v>
      </c>
      <c r="X102" s="207">
        <f>'7990NTP-NP'!H46</f>
        <v>0</v>
      </c>
      <c r="Y102" s="423" t="s">
        <v>324</v>
      </c>
      <c r="Z102" s="424" t="s">
        <v>326</v>
      </c>
      <c r="AA102" s="196">
        <f>ROUNDDOWN('7990NTP-NP'!$Q$46-('7990NTP-NP'!$Q$46*0.1),2)</f>
        <v>0</v>
      </c>
      <c r="AB102" s="207">
        <f>'7990NTP-NP'!I46</f>
        <v>0</v>
      </c>
      <c r="AC102" s="199">
        <f>IF(C102+G102+K102+O102+S102+W102+AA102&gt;0,C102+G102+K102+O102+S102+W102+AA102,0)</f>
        <v>0</v>
      </c>
      <c r="AD102" s="153"/>
    </row>
    <row r="103" spans="1:30" ht="52.8" x14ac:dyDescent="0.25">
      <c r="A103" s="123" t="s">
        <v>221</v>
      </c>
      <c r="B103" s="115" t="s">
        <v>406</v>
      </c>
      <c r="C103" s="211">
        <f>ROUNDUP('7990NTP-NP'!$K$46*0.1,2)</f>
        <v>0</v>
      </c>
      <c r="D103" s="212"/>
      <c r="E103" s="141" t="s">
        <v>221</v>
      </c>
      <c r="F103" s="138" t="s">
        <v>439</v>
      </c>
      <c r="G103" s="196">
        <f>ROUNDUP('7990NTP-NP'!$L$46*0.1,2)</f>
        <v>0</v>
      </c>
      <c r="H103" s="212"/>
      <c r="I103" s="126" t="s">
        <v>221</v>
      </c>
      <c r="J103" s="115" t="s">
        <v>476</v>
      </c>
      <c r="K103" s="196">
        <f>ROUNDUP('7990NTP-NP'!$M$46*0.1,2)</f>
        <v>0</v>
      </c>
      <c r="L103" s="204"/>
      <c r="M103" s="423" t="s">
        <v>325</v>
      </c>
      <c r="N103" s="424" t="s">
        <v>327</v>
      </c>
      <c r="O103" s="196">
        <f>ROUNDUP('7990NTP-NP'!$N$46*0.1,2)</f>
        <v>0</v>
      </c>
      <c r="P103" s="212"/>
      <c r="Q103" s="423" t="s">
        <v>325</v>
      </c>
      <c r="R103" s="424" t="s">
        <v>327</v>
      </c>
      <c r="S103" s="196">
        <f>ROUNDUP('7990NTP-NP'!$O$46*0.1,2)</f>
        <v>0</v>
      </c>
      <c r="T103" s="212"/>
      <c r="U103" s="423" t="s">
        <v>325</v>
      </c>
      <c r="V103" s="424" t="s">
        <v>327</v>
      </c>
      <c r="W103" s="196">
        <f>ROUNDUP('7990NTP-NP'!$P$46*0.1,2)</f>
        <v>0</v>
      </c>
      <c r="X103" s="212"/>
      <c r="Y103" s="423" t="s">
        <v>325</v>
      </c>
      <c r="Z103" s="424" t="s">
        <v>327</v>
      </c>
      <c r="AA103" s="196">
        <f>ROUNDUP('7990NTP-NP'!$Q$46*0.1,2)</f>
        <v>0</v>
      </c>
      <c r="AB103" s="212"/>
      <c r="AC103" s="199">
        <f>IF(C103+G103+K103+O103+S103+W103+AA103&gt;0,C103+G103+K103+O103+S103+W103+AA103,0)</f>
        <v>0</v>
      </c>
      <c r="AD103" s="153"/>
    </row>
    <row r="104" spans="1:30" ht="14.4" x14ac:dyDescent="0.3">
      <c r="A104" s="226"/>
      <c r="B104" s="195"/>
      <c r="C104" s="213"/>
      <c r="D104" s="212"/>
      <c r="E104" s="194"/>
      <c r="F104" s="195"/>
      <c r="G104" s="200"/>
      <c r="H104" s="212"/>
      <c r="I104" s="209"/>
      <c r="J104" s="195"/>
      <c r="K104" s="200"/>
      <c r="L104" s="204"/>
      <c r="M104" s="431"/>
      <c r="N104" s="425"/>
      <c r="O104" s="200"/>
      <c r="P104" s="212"/>
      <c r="Q104" s="194"/>
      <c r="R104" s="195"/>
      <c r="S104" s="200"/>
      <c r="T104" s="212"/>
      <c r="U104" s="194"/>
      <c r="V104" s="195"/>
      <c r="W104" s="200"/>
      <c r="X104" s="212"/>
      <c r="Y104" s="194"/>
      <c r="Z104" s="195"/>
      <c r="AA104" s="200"/>
      <c r="AB104" s="212"/>
      <c r="AC104" s="199"/>
      <c r="AD104" s="153"/>
    </row>
    <row r="105" spans="1:30" ht="66" x14ac:dyDescent="0.25">
      <c r="A105" s="123" t="s">
        <v>211</v>
      </c>
      <c r="B105" s="115" t="s">
        <v>212</v>
      </c>
      <c r="C105" s="211">
        <f>ROUNDDOWN('7990NTP-NP'!K47-('7990NTP-NP'!K47*0.438),2)</f>
        <v>0</v>
      </c>
      <c r="D105" s="207">
        <f>'7990NTP-NP'!C47</f>
        <v>0</v>
      </c>
      <c r="E105" s="141" t="s">
        <v>211</v>
      </c>
      <c r="F105" s="138" t="s">
        <v>440</v>
      </c>
      <c r="G105" s="196">
        <f>ROUNDDOWN('7990NTP-NP'!L47-('7990NTP-NP'!L47*0.438),2)</f>
        <v>0</v>
      </c>
      <c r="H105" s="207">
        <f>'7990NTP-NP'!D47</f>
        <v>0</v>
      </c>
      <c r="I105" s="126" t="s">
        <v>211</v>
      </c>
      <c r="J105" s="115" t="s">
        <v>477</v>
      </c>
      <c r="K105" s="196">
        <f>ROUNDDOWN('7990NTP-NP'!M47-('7990NTP-NP'!M47*0.438),2)</f>
        <v>0</v>
      </c>
      <c r="L105" s="216">
        <f>'7990NTP-NP'!E47</f>
        <v>0</v>
      </c>
      <c r="M105" s="435" t="s">
        <v>314</v>
      </c>
      <c r="N105" s="422" t="s">
        <v>212</v>
      </c>
      <c r="O105" s="196">
        <f>ROUNDDOWN('7990NTP-NP'!N47-('7990NTP-NP'!N47*0.438),2)</f>
        <v>0</v>
      </c>
      <c r="P105" s="207">
        <f>'7990NTP-NP'!F47</f>
        <v>0</v>
      </c>
      <c r="Q105" s="435" t="s">
        <v>314</v>
      </c>
      <c r="R105" s="422" t="s">
        <v>212</v>
      </c>
      <c r="S105" s="196">
        <f>ROUNDDOWN('7990NTP-NP'!O47-('7990NTP-NP'!O47*0.438),2)</f>
        <v>0</v>
      </c>
      <c r="T105" s="207">
        <f>'7990NTP-NP'!G47</f>
        <v>0</v>
      </c>
      <c r="U105" s="435" t="s">
        <v>314</v>
      </c>
      <c r="V105" s="422" t="s">
        <v>212</v>
      </c>
      <c r="W105" s="196">
        <f>ROUNDDOWN('7990NTP-NP'!P47-('7990NTP-NP'!P47*0.438),2)</f>
        <v>0</v>
      </c>
      <c r="X105" s="207">
        <f>'7990NTP-NP'!H47</f>
        <v>0</v>
      </c>
      <c r="Y105" s="435" t="s">
        <v>314</v>
      </c>
      <c r="Z105" s="422" t="s">
        <v>212</v>
      </c>
      <c r="AA105" s="196">
        <f>ROUNDDOWN('7990NTP-NP'!Q47-('7990NTP-NP'!Q47*0.438),2)</f>
        <v>0</v>
      </c>
      <c r="AB105" s="207">
        <f>'7990NTP-NP'!I47</f>
        <v>0</v>
      </c>
      <c r="AC105" s="199">
        <f>IF(C105+G105+K105+O105+S105+W105+AA105&gt;0,C105+G105+K105+O105+S105+W105+AA105,0)</f>
        <v>0</v>
      </c>
      <c r="AD105" s="153"/>
    </row>
    <row r="106" spans="1:30" ht="66" x14ac:dyDescent="0.25">
      <c r="A106" s="123" t="s">
        <v>213</v>
      </c>
      <c r="B106" s="115" t="s">
        <v>214</v>
      </c>
      <c r="C106" s="211">
        <f>ROUNDUP('7990NTP-NP'!K47*0.438,2)</f>
        <v>0</v>
      </c>
      <c r="D106" s="217"/>
      <c r="E106" s="141" t="s">
        <v>213</v>
      </c>
      <c r="F106" s="138" t="s">
        <v>441</v>
      </c>
      <c r="G106" s="196">
        <f>ROUNDUP('7990NTP-NP'!L47*0.438,2)</f>
        <v>0</v>
      </c>
      <c r="H106" s="217"/>
      <c r="I106" s="126" t="s">
        <v>213</v>
      </c>
      <c r="J106" s="115" t="s">
        <v>478</v>
      </c>
      <c r="K106" s="196">
        <f>ROUNDUP('7990NTP-NP'!M47*0.438,2)</f>
        <v>0</v>
      </c>
      <c r="L106" s="198"/>
      <c r="M106" s="435" t="s">
        <v>315</v>
      </c>
      <c r="N106" s="422" t="s">
        <v>316</v>
      </c>
      <c r="O106" s="196">
        <f>ROUNDUP('7990NTP-NP'!N47*0.438,2)</f>
        <v>0</v>
      </c>
      <c r="P106" s="217"/>
      <c r="Q106" s="435" t="s">
        <v>315</v>
      </c>
      <c r="R106" s="422" t="s">
        <v>316</v>
      </c>
      <c r="S106" s="196">
        <f>ROUNDUP('7990NTP-NP'!O47*0.438,2)</f>
        <v>0</v>
      </c>
      <c r="T106" s="217"/>
      <c r="U106" s="435" t="s">
        <v>315</v>
      </c>
      <c r="V106" s="422" t="s">
        <v>316</v>
      </c>
      <c r="W106" s="196">
        <f>ROUNDUP('7990NTP-NP'!P47*0.438,2)</f>
        <v>0</v>
      </c>
      <c r="X106" s="217"/>
      <c r="Y106" s="435" t="s">
        <v>315</v>
      </c>
      <c r="Z106" s="422" t="s">
        <v>316</v>
      </c>
      <c r="AA106" s="196">
        <f>ROUNDUP('7990NTP-NP'!Q47*0.438,2)</f>
        <v>0</v>
      </c>
      <c r="AB106" s="217"/>
      <c r="AC106" s="199">
        <f>IF(C106+G106+K106+O106+S106+W106+AA106&gt;0,C106+G106+K106+O106+S106+W106+AA106,0)</f>
        <v>0</v>
      </c>
      <c r="AD106" s="153"/>
    </row>
    <row r="107" spans="1:30" ht="14.4" x14ac:dyDescent="0.3">
      <c r="A107" s="194"/>
      <c r="B107" s="227"/>
      <c r="C107" s="213"/>
      <c r="D107" s="212"/>
      <c r="E107" s="194"/>
      <c r="F107" s="227"/>
      <c r="G107" s="200"/>
      <c r="H107" s="212"/>
      <c r="I107" s="209"/>
      <c r="J107" s="227"/>
      <c r="K107" s="200"/>
      <c r="L107" s="204"/>
      <c r="M107" s="431"/>
      <c r="N107" s="430"/>
      <c r="O107" s="200"/>
      <c r="P107" s="212"/>
      <c r="Q107" s="194"/>
      <c r="R107" s="227"/>
      <c r="S107" s="200"/>
      <c r="T107" s="212"/>
      <c r="U107" s="194"/>
      <c r="V107" s="227"/>
      <c r="W107" s="200"/>
      <c r="X107" s="212"/>
      <c r="Y107" s="194"/>
      <c r="Z107" s="227"/>
      <c r="AA107" s="200"/>
      <c r="AB107" s="212"/>
      <c r="AC107" s="199"/>
      <c r="AD107" s="153"/>
    </row>
    <row r="108" spans="1:30" ht="66" customHeight="1" x14ac:dyDescent="0.25">
      <c r="A108" s="123" t="s">
        <v>215</v>
      </c>
      <c r="B108" s="115" t="s">
        <v>216</v>
      </c>
      <c r="C108" s="211">
        <f>ROUNDDOWN('7990NTP-NP'!$K$48-('7990NTP-NP'!$K$48*0.3066),2)</f>
        <v>0</v>
      </c>
      <c r="D108" s="207">
        <f>'7990NTP-NP'!C48</f>
        <v>0</v>
      </c>
      <c r="E108" s="141" t="s">
        <v>215</v>
      </c>
      <c r="F108" s="138" t="s">
        <v>442</v>
      </c>
      <c r="G108" s="196">
        <f>ROUNDDOWN('7990NTP-NP'!$L$48-('7990NTP-NP'!$L$48*0.3066),2)</f>
        <v>0</v>
      </c>
      <c r="H108" s="207">
        <f>'7990NTP-NP'!D48</f>
        <v>0</v>
      </c>
      <c r="I108" s="126" t="s">
        <v>215</v>
      </c>
      <c r="J108" s="115" t="s">
        <v>479</v>
      </c>
      <c r="K108" s="196">
        <f>ROUNDDOWN('7990NTP-NP'!$M$48-('7990NTP-NP'!$M$48*0.3066),2)</f>
        <v>0</v>
      </c>
      <c r="L108" s="216">
        <f>'7990NTP-NP'!E48</f>
        <v>0</v>
      </c>
      <c r="M108" s="435" t="s">
        <v>317</v>
      </c>
      <c r="N108" s="422" t="s">
        <v>216</v>
      </c>
      <c r="O108" s="196">
        <f>ROUNDDOWN('7990NTP-NP'!$N$48-('7990NTP-NP'!$N$48*0.3066),2)</f>
        <v>0</v>
      </c>
      <c r="P108" s="207">
        <f>'7990NTP-NP'!F48</f>
        <v>0</v>
      </c>
      <c r="Q108" s="435" t="s">
        <v>317</v>
      </c>
      <c r="R108" s="422" t="s">
        <v>216</v>
      </c>
      <c r="S108" s="196">
        <f>ROUNDDOWN('7990NTP-NP'!$O$48-('7990NTP-NP'!$O$48*0.3066),2)</f>
        <v>0</v>
      </c>
      <c r="T108" s="207">
        <f>'7990NTP-NP'!G48</f>
        <v>0</v>
      </c>
      <c r="U108" s="435" t="s">
        <v>317</v>
      </c>
      <c r="V108" s="422" t="s">
        <v>216</v>
      </c>
      <c r="W108" s="196">
        <f>ROUNDDOWN('7990NTP-NP'!$P$48-('7990NTP-NP'!$P$48*0.3066),2)</f>
        <v>0</v>
      </c>
      <c r="X108" s="207">
        <f>'7990NTP-NP'!H48</f>
        <v>0</v>
      </c>
      <c r="Y108" s="435" t="s">
        <v>317</v>
      </c>
      <c r="Z108" s="422" t="s">
        <v>216</v>
      </c>
      <c r="AA108" s="196">
        <f>ROUNDDOWN('7990NTP-NP'!$Q$48-('7990NTP-NP'!$Q$48*0.3066),2)</f>
        <v>0</v>
      </c>
      <c r="AB108" s="207">
        <f>'7990NTP-NP'!I48</f>
        <v>0</v>
      </c>
      <c r="AC108" s="199">
        <f>IF(C108+G108+K108+O108+S108+W108+AA108&gt;0,C108+G108+K108+O108+S108+W108+AA108,0)</f>
        <v>0</v>
      </c>
      <c r="AD108" s="153"/>
    </row>
    <row r="109" spans="1:30" ht="66" x14ac:dyDescent="0.25">
      <c r="A109" s="123" t="s">
        <v>217</v>
      </c>
      <c r="B109" s="115" t="s">
        <v>218</v>
      </c>
      <c r="C109" s="211">
        <f>ROUNDUP('7990NTP-NP'!$K$48*0.3066,2)</f>
        <v>0</v>
      </c>
      <c r="D109" s="212"/>
      <c r="E109" s="141" t="s">
        <v>217</v>
      </c>
      <c r="F109" s="138" t="s">
        <v>443</v>
      </c>
      <c r="G109" s="196">
        <f>ROUNDUP('7990NTP-NP'!$L$48*0.3066,2)</f>
        <v>0</v>
      </c>
      <c r="H109" s="212"/>
      <c r="I109" s="126" t="s">
        <v>217</v>
      </c>
      <c r="J109" s="115" t="s">
        <v>480</v>
      </c>
      <c r="K109" s="196">
        <f>ROUNDUP('7990NTP-NP'!$M$48*0.3066,2)</f>
        <v>0</v>
      </c>
      <c r="L109" s="204"/>
      <c r="M109" s="435" t="s">
        <v>318</v>
      </c>
      <c r="N109" s="422" t="s">
        <v>319</v>
      </c>
      <c r="O109" s="196">
        <f>ROUNDUP('7990NTP-NP'!$N$48*0.3066,2)</f>
        <v>0</v>
      </c>
      <c r="P109" s="212"/>
      <c r="Q109" s="435" t="s">
        <v>318</v>
      </c>
      <c r="R109" s="422" t="s">
        <v>319</v>
      </c>
      <c r="S109" s="196">
        <f>ROUNDUP('7990NTP-NP'!$O$48*0.3066,2)</f>
        <v>0</v>
      </c>
      <c r="T109" s="212"/>
      <c r="U109" s="435" t="s">
        <v>318</v>
      </c>
      <c r="V109" s="422" t="s">
        <v>319</v>
      </c>
      <c r="W109" s="196">
        <f>ROUNDUP('7990NTP-NP'!$P$48*0.3066,2)</f>
        <v>0</v>
      </c>
      <c r="X109" s="212"/>
      <c r="Y109" s="435" t="s">
        <v>318</v>
      </c>
      <c r="Z109" s="422" t="s">
        <v>319</v>
      </c>
      <c r="AA109" s="196">
        <f>ROUNDUP('7990NTP-NP'!$Q$48*0.3066,2)</f>
        <v>0</v>
      </c>
      <c r="AB109" s="212"/>
      <c r="AC109" s="199">
        <f>IF(C109+G109+K109+O109+S109+W109+AA109&gt;0,C109+G109+K109+O109+S109+W109+AA109,0)</f>
        <v>0</v>
      </c>
      <c r="AD109" s="153"/>
    </row>
    <row r="110" spans="1:30" ht="14.4" x14ac:dyDescent="0.3">
      <c r="A110" s="226"/>
      <c r="B110" s="227"/>
      <c r="C110" s="213"/>
      <c r="D110" s="212"/>
      <c r="E110" s="194"/>
      <c r="F110" s="227"/>
      <c r="G110" s="200"/>
      <c r="H110" s="212"/>
      <c r="I110" s="209"/>
      <c r="J110" s="227"/>
      <c r="K110" s="200"/>
      <c r="L110" s="204"/>
      <c r="M110" s="431"/>
      <c r="N110" s="430"/>
      <c r="O110" s="200"/>
      <c r="P110" s="212"/>
      <c r="Q110" s="194"/>
      <c r="R110" s="227"/>
      <c r="S110" s="200"/>
      <c r="T110" s="212"/>
      <c r="U110" s="194"/>
      <c r="V110" s="227"/>
      <c r="W110" s="200"/>
      <c r="X110" s="212"/>
      <c r="Y110" s="194"/>
      <c r="Z110" s="227"/>
      <c r="AA110" s="200"/>
      <c r="AB110" s="212"/>
      <c r="AC110" s="199"/>
      <c r="AD110" s="153"/>
    </row>
    <row r="111" spans="1:30" ht="66" x14ac:dyDescent="0.25">
      <c r="A111" s="123" t="s">
        <v>231</v>
      </c>
      <c r="B111" s="115" t="s">
        <v>407</v>
      </c>
      <c r="C111" s="211">
        <f>SUM('7990NTP-NP'!K49*1)</f>
        <v>0</v>
      </c>
      <c r="D111" s="207">
        <f>'7990NTP-NP'!C49</f>
        <v>0</v>
      </c>
      <c r="E111" s="141" t="s">
        <v>231</v>
      </c>
      <c r="F111" s="138" t="s">
        <v>444</v>
      </c>
      <c r="G111" s="196">
        <f>SUM('7990NTP-NP'!L49*1)</f>
        <v>0</v>
      </c>
      <c r="H111" s="207">
        <f>'7990NTP-NP'!D49</f>
        <v>0</v>
      </c>
      <c r="I111" s="126" t="s">
        <v>231</v>
      </c>
      <c r="J111" s="115" t="s">
        <v>481</v>
      </c>
      <c r="K111" s="196">
        <f>SUM('7990NTP-NP'!M49*1)</f>
        <v>0</v>
      </c>
      <c r="L111" s="216">
        <f>'7990NTP-NP'!E49</f>
        <v>0</v>
      </c>
      <c r="M111" s="435" t="s">
        <v>351</v>
      </c>
      <c r="N111" s="422" t="s">
        <v>352</v>
      </c>
      <c r="O111" s="196">
        <f>SUM('7990NTP-NP'!N49*1)</f>
        <v>0</v>
      </c>
      <c r="P111" s="207">
        <f>'7990NTP-NP'!F49</f>
        <v>0</v>
      </c>
      <c r="Q111" s="435" t="s">
        <v>351</v>
      </c>
      <c r="R111" s="422" t="s">
        <v>352</v>
      </c>
      <c r="S111" s="196">
        <f>SUM('7990NTP-NP'!O49*1)</f>
        <v>0</v>
      </c>
      <c r="T111" s="207">
        <f>'7990NTP-NP'!G49</f>
        <v>0</v>
      </c>
      <c r="U111" s="435" t="s">
        <v>351</v>
      </c>
      <c r="V111" s="422" t="s">
        <v>352</v>
      </c>
      <c r="W111" s="196">
        <f>SUM('7990NTP-NP'!P49*1)</f>
        <v>0</v>
      </c>
      <c r="X111" s="207">
        <f>'7990NTP-NP'!H49</f>
        <v>0</v>
      </c>
      <c r="Y111" s="435" t="s">
        <v>351</v>
      </c>
      <c r="Z111" s="422" t="s">
        <v>352</v>
      </c>
      <c r="AA111" s="196">
        <f>SUM('7990NTP-NP'!Q49*1)</f>
        <v>0</v>
      </c>
      <c r="AB111" s="207">
        <f>'7990NTP-NP'!I49</f>
        <v>0</v>
      </c>
      <c r="AC111" s="199">
        <f>IF(C111+G111+K111+O111+S111+W111+AA111&gt;0,C111+G111+K111+O111+S111+W111+AA111,0)</f>
        <v>0</v>
      </c>
      <c r="AD111" s="153"/>
    </row>
    <row r="112" spans="1:30" ht="14.4" x14ac:dyDescent="0.3">
      <c r="A112" s="209"/>
      <c r="B112" s="228"/>
      <c r="C112" s="200"/>
      <c r="D112" s="229"/>
      <c r="E112" s="194"/>
      <c r="F112" s="197"/>
      <c r="G112" s="205"/>
      <c r="H112" s="215"/>
      <c r="I112" s="202"/>
      <c r="J112" s="195"/>
      <c r="K112" s="205"/>
      <c r="L112" s="215"/>
      <c r="M112" s="194"/>
      <c r="N112" s="195"/>
      <c r="O112" s="205"/>
      <c r="P112" s="215"/>
      <c r="Q112" s="202"/>
      <c r="R112" s="195"/>
      <c r="S112" s="205"/>
      <c r="T112" s="215"/>
      <c r="U112" s="202"/>
      <c r="V112" s="195"/>
      <c r="W112" s="205"/>
      <c r="X112" s="215"/>
      <c r="Y112" s="202"/>
      <c r="Z112" s="195"/>
      <c r="AA112" s="205"/>
      <c r="AB112" s="215"/>
      <c r="AC112" s="199"/>
      <c r="AD112" s="153"/>
    </row>
    <row r="113" spans="1:30" ht="92.4" hidden="1" x14ac:dyDescent="0.25">
      <c r="A113" s="230" t="s">
        <v>187</v>
      </c>
      <c r="B113" s="195" t="s">
        <v>188</v>
      </c>
      <c r="C113" s="196">
        <f>ROUNDDOWN('7990NTP-NP'!$K$35-('7990NTP-NP'!$K$35*0.1916),2)</f>
        <v>0</v>
      </c>
      <c r="D113" s="216">
        <f>'7990NTP-NP'!C35</f>
        <v>0</v>
      </c>
      <c r="E113" s="231" t="s">
        <v>187</v>
      </c>
      <c r="F113" s="197" t="s">
        <v>188</v>
      </c>
      <c r="G113" s="196">
        <f>ROUNDDOWN('7990NTP-NP'!$L$35-('7990NTP-NP'!$L$35*0.1916),2)</f>
        <v>0</v>
      </c>
      <c r="H113" s="216">
        <f>'7990NTP-NP'!D35</f>
        <v>0</v>
      </c>
      <c r="I113" s="202" t="s">
        <v>187</v>
      </c>
      <c r="J113" s="195" t="s">
        <v>273</v>
      </c>
      <c r="K113" s="196">
        <f>ROUNDDOWN('7990NTP-NP'!M35-('7990NTP-NP'!M35*0.1916),2)</f>
        <v>0</v>
      </c>
      <c r="L113" s="216">
        <f>'7990NTP-NP'!E35</f>
        <v>0</v>
      </c>
      <c r="M113" s="231" t="s">
        <v>187</v>
      </c>
      <c r="N113" s="195" t="s">
        <v>188</v>
      </c>
      <c r="O113" s="196">
        <f>ROUNDDOWN('7990NTP-NP'!N35-('7990NTP-NP'!N35*0.1916),2)</f>
        <v>0</v>
      </c>
      <c r="P113" s="216">
        <f>'7990NTP-NP'!F35</f>
        <v>0</v>
      </c>
      <c r="Q113" s="202" t="s">
        <v>187</v>
      </c>
      <c r="R113" s="195" t="s">
        <v>273</v>
      </c>
      <c r="S113" s="196">
        <f>ROUNDDOWN('7990NTP-NP'!O35-('7990NTP-NP'!O35*0.1916),2)</f>
        <v>0</v>
      </c>
      <c r="T113" s="216">
        <f>'7990NTP-NP'!G35</f>
        <v>0</v>
      </c>
      <c r="U113" s="202" t="s">
        <v>187</v>
      </c>
      <c r="V113" s="195" t="s">
        <v>273</v>
      </c>
      <c r="W113" s="196">
        <f>ROUNDDOWN('7990NTP-NP'!P35-('7990NTP-NP'!P35*0.1916),2)</f>
        <v>0</v>
      </c>
      <c r="X113" s="216">
        <f>'7990NTP-NP'!H35</f>
        <v>0</v>
      </c>
      <c r="Y113" s="202" t="s">
        <v>187</v>
      </c>
      <c r="Z113" s="195" t="s">
        <v>273</v>
      </c>
      <c r="AA113" s="196">
        <f>ROUNDDOWN('7990NTP-NP'!Q35-('7990NTP-NP'!Q35*0.1916),2)</f>
        <v>0</v>
      </c>
      <c r="AB113" s="216">
        <f>'7990NTP-NP'!I35</f>
        <v>0</v>
      </c>
      <c r="AC113" s="199">
        <f>IF(C113+G113+K113+O113+S113+W113+AA113&gt;0,C113+G113+K113+O113+S113+W113+AA113,0)</f>
        <v>0</v>
      </c>
      <c r="AD113" s="153"/>
    </row>
    <row r="114" spans="1:30" ht="92.4" hidden="1" x14ac:dyDescent="0.25">
      <c r="A114" s="230" t="s">
        <v>189</v>
      </c>
      <c r="B114" s="195" t="s">
        <v>190</v>
      </c>
      <c r="C114" s="196">
        <f>ROUNDUP('7990NTP-NP'!$K$35*0.1916,2)</f>
        <v>0</v>
      </c>
      <c r="D114" s="204"/>
      <c r="E114" s="231" t="s">
        <v>189</v>
      </c>
      <c r="F114" s="197" t="s">
        <v>190</v>
      </c>
      <c r="G114" s="196">
        <f>ROUNDUP('7990NTP-NP'!$L$35*0.1916,2)</f>
        <v>0</v>
      </c>
      <c r="H114" s="204"/>
      <c r="I114" s="202" t="s">
        <v>189</v>
      </c>
      <c r="J114" s="195" t="s">
        <v>353</v>
      </c>
      <c r="K114" s="196">
        <f>ROUNDUP('7990NTP-NP'!M35*0.1916,2)</f>
        <v>0</v>
      </c>
      <c r="L114" s="204"/>
      <c r="M114" s="231" t="s">
        <v>189</v>
      </c>
      <c r="N114" s="195" t="s">
        <v>190</v>
      </c>
      <c r="O114" s="196">
        <f>ROUNDUP('7990NTP-NP'!N35*0.1916,2)</f>
        <v>0</v>
      </c>
      <c r="P114" s="204"/>
      <c r="Q114" s="202" t="s">
        <v>189</v>
      </c>
      <c r="R114" s="195" t="s">
        <v>353</v>
      </c>
      <c r="S114" s="196">
        <f>ROUNDUP('7990NTP-NP'!O35*0.1916,2)</f>
        <v>0</v>
      </c>
      <c r="T114" s="204"/>
      <c r="U114" s="202" t="s">
        <v>189</v>
      </c>
      <c r="V114" s="195" t="s">
        <v>353</v>
      </c>
      <c r="W114" s="196">
        <f>ROUNDUP('7990NTP-NP'!P35*0.1916,2)</f>
        <v>0</v>
      </c>
      <c r="X114" s="204"/>
      <c r="Y114" s="202" t="s">
        <v>189</v>
      </c>
      <c r="Z114" s="195" t="s">
        <v>353</v>
      </c>
      <c r="AA114" s="196">
        <f>ROUNDUP('7990NTP-NP'!Q35*0.1916,2)</f>
        <v>0</v>
      </c>
      <c r="AB114" s="204"/>
      <c r="AC114" s="199">
        <f>IF(C114+G114+K114+O114+S114+W114+AA114&gt;0,C114+G114+K114+O114+S114+W114+AA114,0)</f>
        <v>0</v>
      </c>
      <c r="AD114" s="153"/>
    </row>
    <row r="115" spans="1:30" ht="14.4" hidden="1" x14ac:dyDescent="0.3">
      <c r="A115" s="226"/>
      <c r="B115" s="228"/>
      <c r="C115" s="200"/>
      <c r="D115" s="204"/>
      <c r="E115" s="202"/>
      <c r="F115" s="197"/>
      <c r="G115" s="205"/>
      <c r="H115" s="204"/>
      <c r="I115" s="202"/>
      <c r="J115" s="195"/>
      <c r="K115" s="205"/>
      <c r="L115" s="204"/>
      <c r="M115" s="202"/>
      <c r="N115" s="195"/>
      <c r="O115" s="205"/>
      <c r="P115" s="204"/>
      <c r="Q115" s="202"/>
      <c r="R115" s="195"/>
      <c r="S115" s="205"/>
      <c r="T115" s="204"/>
      <c r="U115" s="202"/>
      <c r="V115" s="195"/>
      <c r="W115" s="205"/>
      <c r="X115" s="204"/>
      <c r="Y115" s="202"/>
      <c r="Z115" s="195"/>
      <c r="AA115" s="205"/>
      <c r="AB115" s="204"/>
      <c r="AC115" s="199"/>
      <c r="AD115" s="153"/>
    </row>
    <row r="116" spans="1:30" ht="66" hidden="1" x14ac:dyDescent="0.25">
      <c r="A116" s="123" t="s">
        <v>274</v>
      </c>
      <c r="B116" s="219" t="s">
        <v>276</v>
      </c>
      <c r="C116" s="196" t="e">
        <f>ROUNDDOWN('7990NTP-NP'!#REF!-('7990NTP-NP'!#REF!*0.12),2)</f>
        <v>#REF!</v>
      </c>
      <c r="D116" s="216" t="e">
        <f>'7990NTP-NP'!#REF!</f>
        <v>#REF!</v>
      </c>
      <c r="E116" s="141" t="s">
        <v>274</v>
      </c>
      <c r="F116" s="197" t="s">
        <v>276</v>
      </c>
      <c r="G116" s="196" t="e">
        <f>ROUNDDOWN('7990NTP-NP'!#REF!-('7990NTP-NP'!#REF!*0.12),2)</f>
        <v>#REF!</v>
      </c>
      <c r="H116" s="216" t="e">
        <f>'7990NTP-NP'!#REF!</f>
        <v>#REF!</v>
      </c>
      <c r="I116" s="141" t="s">
        <v>274</v>
      </c>
      <c r="J116" s="219" t="s">
        <v>276</v>
      </c>
      <c r="K116" s="196" t="e">
        <f>ROUNDDOWN('7990NTP-NP'!#REF!-('7990NTP-NP'!#REF!*0.12),2)</f>
        <v>#REF!</v>
      </c>
      <c r="L116" s="216" t="e">
        <f>'7990NTP-NP'!#REF!</f>
        <v>#REF!</v>
      </c>
      <c r="M116" s="202" t="s">
        <v>232</v>
      </c>
      <c r="N116" s="195" t="s">
        <v>276</v>
      </c>
      <c r="O116" s="196" t="e">
        <f>ROUNDDOWN('7990NTP-NP'!#REF!-('7990NTP-NP'!#REF!*0.12),2)</f>
        <v>#REF!</v>
      </c>
      <c r="P116" s="216" t="e">
        <f>'7990NTP-NP'!#REF!</f>
        <v>#REF!</v>
      </c>
      <c r="Q116" s="202" t="s">
        <v>274</v>
      </c>
      <c r="R116" s="195" t="s">
        <v>276</v>
      </c>
      <c r="S116" s="196" t="e">
        <f>ROUNDDOWN('7990NTP-NP'!#REF!-('7990NTP-NP'!#REF!*0.12),2)</f>
        <v>#REF!</v>
      </c>
      <c r="T116" s="216" t="e">
        <f>'7990NTP-NP'!#REF!</f>
        <v>#REF!</v>
      </c>
      <c r="U116" s="141" t="s">
        <v>232</v>
      </c>
      <c r="V116" s="219" t="s">
        <v>95</v>
      </c>
      <c r="W116" s="196" t="e">
        <f>ROUNDDOWN('7990NTP-NP'!#REF!-('7990NTP-NP'!#REF!*0.12),2)</f>
        <v>#REF!</v>
      </c>
      <c r="X116" s="216" t="e">
        <f>'7990NTP-NP'!#REF!</f>
        <v>#REF!</v>
      </c>
      <c r="Y116" s="141" t="s">
        <v>232</v>
      </c>
      <c r="Z116" s="219" t="s">
        <v>95</v>
      </c>
      <c r="AA116" s="196" t="e">
        <f>ROUNDDOWN('7990NTP-NP'!#REF!-('7990NTP-NP'!#REF!*0.12),2)</f>
        <v>#REF!</v>
      </c>
      <c r="AB116" s="216" t="e">
        <f>'7990NTP-NP'!#REF!</f>
        <v>#REF!</v>
      </c>
      <c r="AC116" s="199" t="e">
        <f>IF(C116+G116+K116+O116+S116+W116+AA116&gt;0,C116+G116+K116+O116+S116+W116+AA116,0)</f>
        <v>#REF!</v>
      </c>
      <c r="AD116" s="153"/>
    </row>
    <row r="117" spans="1:30" ht="66" hidden="1" x14ac:dyDescent="0.25">
      <c r="A117" s="232" t="s">
        <v>275</v>
      </c>
      <c r="B117" s="195" t="s">
        <v>277</v>
      </c>
      <c r="C117" s="196" t="e">
        <f>ROUNDUP('7990NTP-NP'!#REF!*0.12,2)</f>
        <v>#REF!</v>
      </c>
      <c r="D117" s="198"/>
      <c r="E117" s="194" t="s">
        <v>275</v>
      </c>
      <c r="F117" s="197" t="s">
        <v>277</v>
      </c>
      <c r="G117" s="196" t="e">
        <f>ROUNDUP('7990NTP-NP'!#REF!*0.12,2)</f>
        <v>#REF!</v>
      </c>
      <c r="H117" s="198"/>
      <c r="I117" s="194" t="s">
        <v>275</v>
      </c>
      <c r="J117" s="195" t="s">
        <v>277</v>
      </c>
      <c r="K117" s="196" t="e">
        <f>ROUNDUP('7990NTP-NP'!#REF!*0.12,2)</f>
        <v>#REF!</v>
      </c>
      <c r="L117" s="198"/>
      <c r="M117" s="233" t="s">
        <v>233</v>
      </c>
      <c r="N117" s="219" t="s">
        <v>350</v>
      </c>
      <c r="O117" s="196" t="e">
        <f>ROUNDUP('7990NTP-NP'!#REF!*0.12,2)</f>
        <v>#REF!</v>
      </c>
      <c r="P117" s="198"/>
      <c r="Q117" s="233" t="s">
        <v>275</v>
      </c>
      <c r="R117" s="219" t="s">
        <v>277</v>
      </c>
      <c r="S117" s="196" t="e">
        <f>ROUNDUP('7990NTP-NP'!#REF!*0.12,2)</f>
        <v>#REF!</v>
      </c>
      <c r="T117" s="198"/>
      <c r="U117" s="194" t="s">
        <v>233</v>
      </c>
      <c r="V117" s="195" t="s">
        <v>234</v>
      </c>
      <c r="W117" s="196" t="e">
        <f>ROUNDUP('7990NTP-NP'!#REF!*0.12,2)</f>
        <v>#REF!</v>
      </c>
      <c r="X117" s="198"/>
      <c r="Y117" s="194" t="s">
        <v>233</v>
      </c>
      <c r="Z117" s="195" t="s">
        <v>234</v>
      </c>
      <c r="AA117" s="196" t="e">
        <f>ROUNDUP('7990NTP-NP'!#REF!*0.12,2)</f>
        <v>#REF!</v>
      </c>
      <c r="AB117" s="198"/>
      <c r="AC117" s="199" t="e">
        <f>IF(C117+G117+K117+O117+S117+W117+AA117&gt;0,C117+G117+K117+O117+S117+W117+AA117,0)</f>
        <v>#REF!</v>
      </c>
      <c r="AD117" s="153"/>
    </row>
    <row r="118" spans="1:30" ht="14.4" hidden="1" x14ac:dyDescent="0.3">
      <c r="A118" s="194"/>
      <c r="B118" s="195"/>
      <c r="C118" s="200"/>
      <c r="D118" s="204"/>
      <c r="E118" s="202"/>
      <c r="F118" s="197"/>
      <c r="G118" s="205"/>
      <c r="H118" s="204"/>
      <c r="I118" s="202"/>
      <c r="J118" s="195"/>
      <c r="K118" s="205"/>
      <c r="L118" s="204"/>
      <c r="M118" s="202"/>
      <c r="N118" s="195"/>
      <c r="O118" s="205"/>
      <c r="P118" s="204"/>
      <c r="Q118" s="202"/>
      <c r="R118" s="195"/>
      <c r="S118" s="205"/>
      <c r="T118" s="204"/>
      <c r="U118" s="202"/>
      <c r="V118" s="195"/>
      <c r="W118" s="205"/>
      <c r="X118" s="204"/>
      <c r="Y118" s="202"/>
      <c r="Z118" s="195"/>
      <c r="AA118" s="205"/>
      <c r="AB118" s="204"/>
      <c r="AC118" s="199"/>
      <c r="AD118" s="153"/>
    </row>
    <row r="119" spans="1:30" ht="66" hidden="1" x14ac:dyDescent="0.25">
      <c r="A119" s="234" t="s">
        <v>332</v>
      </c>
      <c r="B119" s="195" t="s">
        <v>192</v>
      </c>
      <c r="C119" s="196">
        <f>ROUNDDOWN('7990NTP-NP'!$K$36-('7990NTP-NP'!$K$36*0.235),2)</f>
        <v>0</v>
      </c>
      <c r="D119" s="216">
        <f>'7990NTP-NP'!C36</f>
        <v>0</v>
      </c>
      <c r="E119" s="231" t="s">
        <v>332</v>
      </c>
      <c r="F119" s="197" t="s">
        <v>192</v>
      </c>
      <c r="G119" s="196">
        <f>ROUNDDOWN('7990NTP-NP'!$L$36-('7990NTP-NP'!$L$36*0.235),2)</f>
        <v>0</v>
      </c>
      <c r="H119" s="216">
        <f>'7990NTP-NP'!D36</f>
        <v>0</v>
      </c>
      <c r="I119" s="231" t="s">
        <v>332</v>
      </c>
      <c r="J119" s="195" t="s">
        <v>192</v>
      </c>
      <c r="K119" s="196">
        <f>ROUNDDOWN('7990NTP-NP'!M36-('7990NTP-NP'!M36*0.235),2)</f>
        <v>0</v>
      </c>
      <c r="L119" s="216">
        <f>'7990NTP-NP'!E36</f>
        <v>0</v>
      </c>
      <c r="M119" s="231" t="s">
        <v>191</v>
      </c>
      <c r="N119" s="195" t="s">
        <v>192</v>
      </c>
      <c r="O119" s="196">
        <f>ROUNDDOWN('7990NTP-NP'!N36-('7990NTP-NP'!N36*0.235),2)</f>
        <v>0</v>
      </c>
      <c r="P119" s="216">
        <f>'7990NTP-NP'!F36</f>
        <v>0</v>
      </c>
      <c r="Q119" s="231" t="s">
        <v>191</v>
      </c>
      <c r="R119" s="195" t="s">
        <v>192</v>
      </c>
      <c r="S119" s="196">
        <f>ROUNDDOWN('7990NTP-NP'!O36-('7990NTP-NP'!O36*0.235),2)</f>
        <v>0</v>
      </c>
      <c r="T119" s="216">
        <f>'7990NTP-NP'!G36</f>
        <v>0</v>
      </c>
      <c r="U119" s="231" t="s">
        <v>191</v>
      </c>
      <c r="V119" s="195" t="s">
        <v>192</v>
      </c>
      <c r="W119" s="196">
        <f>ROUNDDOWN('7990NTP-NP'!P36-('7990NTP-NP'!P36*0.235),2)</f>
        <v>0</v>
      </c>
      <c r="X119" s="216">
        <f>'7990NTP-NP'!H36</f>
        <v>0</v>
      </c>
      <c r="Y119" s="231" t="s">
        <v>191</v>
      </c>
      <c r="Z119" s="195" t="s">
        <v>192</v>
      </c>
      <c r="AA119" s="196">
        <f>ROUNDDOWN('7990NTP-NP'!Q36-('7990NTP-NP'!Q36*0.235),2)</f>
        <v>0</v>
      </c>
      <c r="AB119" s="216">
        <f>'7990NTP-NP'!I36</f>
        <v>0</v>
      </c>
      <c r="AC119" s="199">
        <f>IF(C119+G119+K119+O119+S119+W119+AA119&gt;0,C119+G119+K119+O119+S119+W119+AA119,0)</f>
        <v>0</v>
      </c>
      <c r="AD119" s="153"/>
    </row>
    <row r="120" spans="1:30" ht="66" hidden="1" x14ac:dyDescent="0.25">
      <c r="A120" s="234" t="s">
        <v>333</v>
      </c>
      <c r="B120" s="195" t="s">
        <v>334</v>
      </c>
      <c r="C120" s="196">
        <f>ROUNDUP('7990NTP-NP'!$K$36*0.235,2)</f>
        <v>0</v>
      </c>
      <c r="D120" s="204"/>
      <c r="E120" s="231" t="s">
        <v>333</v>
      </c>
      <c r="F120" s="197" t="s">
        <v>334</v>
      </c>
      <c r="G120" s="196">
        <f>ROUNDUP('7990NTP-NP'!$L$36*0.235,2)</f>
        <v>0</v>
      </c>
      <c r="H120" s="204"/>
      <c r="I120" s="231" t="s">
        <v>333</v>
      </c>
      <c r="J120" s="195" t="s">
        <v>334</v>
      </c>
      <c r="K120" s="196">
        <f>ROUNDUP('7990NTP-NP'!M36*0.235,2)</f>
        <v>0</v>
      </c>
      <c r="L120" s="204"/>
      <c r="M120" s="231" t="s">
        <v>193</v>
      </c>
      <c r="N120" s="195" t="s">
        <v>194</v>
      </c>
      <c r="O120" s="196">
        <f>ROUNDUP('7990NTP-NP'!N36*0.235,2)</f>
        <v>0</v>
      </c>
      <c r="P120" s="204"/>
      <c r="Q120" s="231" t="s">
        <v>193</v>
      </c>
      <c r="R120" s="195" t="s">
        <v>194</v>
      </c>
      <c r="S120" s="196">
        <f>ROUNDUP('7990NTP-NP'!O36*0.235,2)</f>
        <v>0</v>
      </c>
      <c r="T120" s="204"/>
      <c r="U120" s="231" t="s">
        <v>193</v>
      </c>
      <c r="V120" s="195" t="s">
        <v>194</v>
      </c>
      <c r="W120" s="196">
        <f>ROUNDUP('7990NTP-NP'!P36*0.235,2)</f>
        <v>0</v>
      </c>
      <c r="X120" s="204"/>
      <c r="Y120" s="231" t="s">
        <v>193</v>
      </c>
      <c r="Z120" s="195" t="s">
        <v>194</v>
      </c>
      <c r="AA120" s="196">
        <f>ROUNDUP('7990NTP-NP'!Q36*0.235,2)</f>
        <v>0</v>
      </c>
      <c r="AB120" s="204"/>
      <c r="AC120" s="199">
        <f>IF(C120+G120+K120+O120+S120+W120+AA120&gt;0,C120+G120+K120+O120+S120+W120+AA120,0)</f>
        <v>0</v>
      </c>
      <c r="AD120" s="153"/>
    </row>
    <row r="121" spans="1:30" ht="14.4" hidden="1" x14ac:dyDescent="0.3">
      <c r="A121" s="194"/>
      <c r="B121" s="195"/>
      <c r="C121" s="200"/>
      <c r="D121" s="204"/>
      <c r="E121" s="194"/>
      <c r="F121" s="197"/>
      <c r="G121" s="205"/>
      <c r="H121" s="204"/>
      <c r="I121" s="194"/>
      <c r="J121" s="195"/>
      <c r="K121" s="205"/>
      <c r="L121" s="204"/>
      <c r="M121" s="194"/>
      <c r="N121" s="195"/>
      <c r="O121" s="205"/>
      <c r="P121" s="204"/>
      <c r="Q121" s="194"/>
      <c r="R121" s="195"/>
      <c r="S121" s="205"/>
      <c r="T121" s="204"/>
      <c r="U121" s="194"/>
      <c r="V121" s="195"/>
      <c r="W121" s="205"/>
      <c r="X121" s="204"/>
      <c r="Y121" s="194"/>
      <c r="Z121" s="195"/>
      <c r="AA121" s="205"/>
      <c r="AB121" s="204"/>
      <c r="AC121" s="199"/>
      <c r="AD121" s="153"/>
    </row>
    <row r="122" spans="1:30" ht="79.2" hidden="1" x14ac:dyDescent="0.25">
      <c r="A122" s="234" t="s">
        <v>335</v>
      </c>
      <c r="B122" s="195" t="s">
        <v>337</v>
      </c>
      <c r="C122" s="196">
        <f>ROUNDDOWN('7990NTP-NP'!$K$37-('7990NTP-NP'!$K$37*0.1916),2)</f>
        <v>0</v>
      </c>
      <c r="D122" s="216">
        <f>'7990NTP-NP'!C37</f>
        <v>0</v>
      </c>
      <c r="E122" s="231" t="s">
        <v>335</v>
      </c>
      <c r="F122" s="197" t="s">
        <v>337</v>
      </c>
      <c r="G122" s="196">
        <f>ROUNDDOWN('7990NTP-NP'!$L$37-('7990NTP-NP'!$L$37*0.1916),2)</f>
        <v>0</v>
      </c>
      <c r="H122" s="216">
        <f>'7990NTP-NP'!D37</f>
        <v>0</v>
      </c>
      <c r="I122" s="231" t="s">
        <v>335</v>
      </c>
      <c r="J122" s="195" t="s">
        <v>337</v>
      </c>
      <c r="K122" s="196">
        <f>ROUNDDOWN('7990NTP-NP'!M37-('7990NTP-NP'!M37*0.1916),2)</f>
        <v>0</v>
      </c>
      <c r="L122" s="216">
        <f>'7990NTP-NP'!E37</f>
        <v>0</v>
      </c>
      <c r="M122" s="231" t="s">
        <v>195</v>
      </c>
      <c r="N122" s="195" t="s">
        <v>196</v>
      </c>
      <c r="O122" s="196">
        <f>ROUNDDOWN('7990NTP-NP'!N37-('7990NTP-NP'!N37*0.1916),2)</f>
        <v>0</v>
      </c>
      <c r="P122" s="216">
        <f>'7990NTP-NP'!F37</f>
        <v>0</v>
      </c>
      <c r="Q122" s="231" t="s">
        <v>195</v>
      </c>
      <c r="R122" s="195" t="s">
        <v>196</v>
      </c>
      <c r="S122" s="196">
        <f>ROUNDDOWN('7990NTP-NP'!O37-('7990NTP-NP'!O37*0.1916),2)</f>
        <v>0</v>
      </c>
      <c r="T122" s="216">
        <f>'7990NTP-NP'!G37</f>
        <v>0</v>
      </c>
      <c r="U122" s="231" t="s">
        <v>195</v>
      </c>
      <c r="V122" s="195" t="s">
        <v>196</v>
      </c>
      <c r="W122" s="196">
        <f>ROUNDDOWN('7990NTP-NP'!P37-('7990NTP-NP'!P37*0.1916),2)</f>
        <v>0</v>
      </c>
      <c r="X122" s="216">
        <f>'7990NTP-NP'!H37</f>
        <v>0</v>
      </c>
      <c r="Y122" s="231" t="s">
        <v>195</v>
      </c>
      <c r="Z122" s="195" t="s">
        <v>196</v>
      </c>
      <c r="AA122" s="196">
        <f>ROUNDDOWN('7990NTP-NP'!Q37-('7990NTP-NP'!Q37*0.1916),2)</f>
        <v>0</v>
      </c>
      <c r="AB122" s="216">
        <f>'7990NTP-NP'!I37</f>
        <v>0</v>
      </c>
      <c r="AC122" s="199">
        <f>IF(C122+G122+K122+O122+S122+W122+AA122&gt;0,C122+G122+K122+O122+S122+W122+AA122,0)</f>
        <v>0</v>
      </c>
      <c r="AD122" s="153"/>
    </row>
    <row r="123" spans="1:30" ht="79.2" hidden="1" x14ac:dyDescent="0.25">
      <c r="A123" s="234" t="s">
        <v>336</v>
      </c>
      <c r="B123" s="195" t="s">
        <v>338</v>
      </c>
      <c r="C123" s="196">
        <f>ROUNDUP('7990NTP-NP'!$K$37*0.1916,2)</f>
        <v>0</v>
      </c>
      <c r="D123" s="204"/>
      <c r="E123" s="231" t="s">
        <v>336</v>
      </c>
      <c r="F123" s="197" t="s">
        <v>338</v>
      </c>
      <c r="G123" s="196">
        <f>ROUNDUP('7990NTP-NP'!$L$37*0.1916,2)</f>
        <v>0</v>
      </c>
      <c r="H123" s="204"/>
      <c r="I123" s="231" t="s">
        <v>336</v>
      </c>
      <c r="J123" s="195" t="s">
        <v>338</v>
      </c>
      <c r="K123" s="196">
        <f>ROUNDUP('7990NTP-NP'!M37*0.1916,2)</f>
        <v>0</v>
      </c>
      <c r="L123" s="204"/>
      <c r="M123" s="231" t="s">
        <v>197</v>
      </c>
      <c r="N123" s="195" t="s">
        <v>198</v>
      </c>
      <c r="O123" s="196">
        <f>ROUNDUP('7990NTP-NP'!N37*0.1916,2)</f>
        <v>0</v>
      </c>
      <c r="P123" s="204"/>
      <c r="Q123" s="231" t="s">
        <v>197</v>
      </c>
      <c r="R123" s="195" t="s">
        <v>198</v>
      </c>
      <c r="S123" s="196">
        <f>ROUNDUP('7990NTP-NP'!O37*0.1916,2)</f>
        <v>0</v>
      </c>
      <c r="T123" s="204"/>
      <c r="U123" s="231" t="s">
        <v>197</v>
      </c>
      <c r="V123" s="195" t="s">
        <v>198</v>
      </c>
      <c r="W123" s="196">
        <f>ROUNDUP('7990NTP-NP'!P37*0.1916,2)</f>
        <v>0</v>
      </c>
      <c r="X123" s="204"/>
      <c r="Y123" s="231" t="s">
        <v>197</v>
      </c>
      <c r="Z123" s="195" t="s">
        <v>198</v>
      </c>
      <c r="AA123" s="196">
        <f>ROUNDUP('7990NTP-NP'!Q37*0.1916,2)</f>
        <v>0</v>
      </c>
      <c r="AB123" s="204"/>
      <c r="AC123" s="199">
        <f>IF(C123+G123+K123+O123+S123+W123+AA123&gt;0,C123+G123+K123+O123+S123+W123+AA123,0)</f>
        <v>0</v>
      </c>
      <c r="AD123" s="153"/>
    </row>
    <row r="124" spans="1:30" ht="14.4" hidden="1" x14ac:dyDescent="0.3">
      <c r="A124" s="194"/>
      <c r="B124" s="195"/>
      <c r="C124" s="200"/>
      <c r="D124" s="204"/>
      <c r="E124" s="202"/>
      <c r="F124" s="197"/>
      <c r="G124" s="205"/>
      <c r="H124" s="204"/>
      <c r="I124" s="202"/>
      <c r="J124" s="195"/>
      <c r="K124" s="205"/>
      <c r="L124" s="204"/>
      <c r="M124" s="202"/>
      <c r="N124" s="195"/>
      <c r="O124" s="205"/>
      <c r="P124" s="204"/>
      <c r="Q124" s="202"/>
      <c r="R124" s="195"/>
      <c r="S124" s="205"/>
      <c r="T124" s="204"/>
      <c r="U124" s="202"/>
      <c r="V124" s="195"/>
      <c r="W124" s="205"/>
      <c r="X124" s="204"/>
      <c r="Y124" s="202"/>
      <c r="Z124" s="195"/>
      <c r="AA124" s="205"/>
      <c r="AB124" s="204"/>
      <c r="AC124" s="199"/>
      <c r="AD124" s="153"/>
    </row>
    <row r="125" spans="1:30" ht="39.6" hidden="1" x14ac:dyDescent="0.25">
      <c r="A125" s="194" t="s">
        <v>104</v>
      </c>
      <c r="B125" s="195" t="s">
        <v>105</v>
      </c>
      <c r="C125" s="196" t="e">
        <f>SUM('7990NTP-NP'!#REF!*1)</f>
        <v>#REF!</v>
      </c>
      <c r="D125" s="216" t="e">
        <f>'7990NTP-NP'!#REF!</f>
        <v>#REF!</v>
      </c>
      <c r="E125" s="194" t="s">
        <v>104</v>
      </c>
      <c r="F125" s="197" t="s">
        <v>105</v>
      </c>
      <c r="G125" s="196" t="e">
        <f>SUM('7990NTP-NP'!#REF!*1)</f>
        <v>#REF!</v>
      </c>
      <c r="H125" s="216" t="e">
        <f>'7990NTP-NP'!#REF!</f>
        <v>#REF!</v>
      </c>
      <c r="I125" s="194" t="s">
        <v>104</v>
      </c>
      <c r="J125" s="195" t="s">
        <v>105</v>
      </c>
      <c r="K125" s="196" t="e">
        <f>SUM('7990NTP-NP'!#REF!*1)</f>
        <v>#REF!</v>
      </c>
      <c r="L125" s="216" t="e">
        <f>'7990NTP-NP'!#REF!</f>
        <v>#REF!</v>
      </c>
      <c r="M125" s="194" t="s">
        <v>280</v>
      </c>
      <c r="N125" s="195" t="s">
        <v>281</v>
      </c>
      <c r="O125" s="196" t="e">
        <f>SUM('7990NTP-NP'!#REF!*1)</f>
        <v>#REF!</v>
      </c>
      <c r="P125" s="216" t="e">
        <f>'7990NTP-NP'!#REF!</f>
        <v>#REF!</v>
      </c>
      <c r="Q125" s="194" t="s">
        <v>280</v>
      </c>
      <c r="R125" s="195" t="s">
        <v>281</v>
      </c>
      <c r="S125" s="196" t="e">
        <f>SUM('7990NTP-NP'!#REF!*1)</f>
        <v>#REF!</v>
      </c>
      <c r="T125" s="216" t="e">
        <f>'7990NTP-NP'!#REF!</f>
        <v>#REF!</v>
      </c>
      <c r="U125" s="202" t="s">
        <v>280</v>
      </c>
      <c r="V125" s="195" t="s">
        <v>281</v>
      </c>
      <c r="W125" s="196" t="e">
        <f>SUM('7990NTP-NP'!#REF!*1)</f>
        <v>#REF!</v>
      </c>
      <c r="X125" s="216" t="e">
        <f>'7990NTP-NP'!#REF!</f>
        <v>#REF!</v>
      </c>
      <c r="Y125" s="202" t="s">
        <v>280</v>
      </c>
      <c r="Z125" s="195" t="s">
        <v>281</v>
      </c>
      <c r="AA125" s="196" t="e">
        <f>SUM('7990NTP-NP'!#REF!*1)</f>
        <v>#REF!</v>
      </c>
      <c r="AB125" s="216" t="e">
        <f>'7990NTP-NP'!#REF!</f>
        <v>#REF!</v>
      </c>
      <c r="AC125" s="199" t="e">
        <f>IF(C125+G125+K125+O125+S125+W125+AA125&gt;0,C125+G125+K125+O125+S125+W125+AA125,0)</f>
        <v>#REF!</v>
      </c>
      <c r="AD125" s="153"/>
    </row>
    <row r="126" spans="1:30" ht="13.8" hidden="1" x14ac:dyDescent="0.25">
      <c r="A126" s="194"/>
      <c r="B126" s="113"/>
      <c r="C126" s="235"/>
      <c r="D126" s="236"/>
      <c r="E126" s="141"/>
      <c r="F126" s="237"/>
      <c r="G126" s="238"/>
      <c r="H126" s="236"/>
      <c r="I126" s="141"/>
      <c r="J126" s="113"/>
      <c r="K126" s="238"/>
      <c r="L126" s="236"/>
      <c r="M126" s="141"/>
      <c r="N126" s="113"/>
      <c r="O126" s="238"/>
      <c r="P126" s="236"/>
      <c r="Q126" s="141"/>
      <c r="R126" s="113"/>
      <c r="S126" s="238"/>
      <c r="T126" s="236"/>
      <c r="U126" s="141"/>
      <c r="V126" s="113"/>
      <c r="W126" s="238"/>
      <c r="X126" s="236"/>
      <c r="Y126" s="141"/>
      <c r="Z126" s="113"/>
      <c r="AA126" s="238"/>
      <c r="AB126" s="236"/>
      <c r="AC126" s="199"/>
      <c r="AD126" s="153"/>
    </row>
    <row r="127" spans="1:30" ht="96.6" x14ac:dyDescent="0.25">
      <c r="A127" s="447" t="s">
        <v>562</v>
      </c>
      <c r="B127" s="448" t="s">
        <v>553</v>
      </c>
      <c r="C127" s="196">
        <f>SUM('7990NTP-NP'!$K$50*1)</f>
        <v>0</v>
      </c>
      <c r="D127" s="216">
        <f>'7990NTP-NP'!$C$50</f>
        <v>0</v>
      </c>
      <c r="E127" s="456" t="s">
        <v>562</v>
      </c>
      <c r="F127" s="448" t="s">
        <v>553</v>
      </c>
      <c r="G127" s="196">
        <f>SUM('7990NTP-NP'!$L$50*1)</f>
        <v>0</v>
      </c>
      <c r="H127" s="216">
        <f>'7990NTP-NP'!$D$50</f>
        <v>0</v>
      </c>
      <c r="I127" s="456" t="s">
        <v>562</v>
      </c>
      <c r="J127" s="448" t="s">
        <v>553</v>
      </c>
      <c r="K127" s="196">
        <f>SUM('7990NTP-NP'!$M$50*1)</f>
        <v>0</v>
      </c>
      <c r="L127" s="207">
        <f>'7990NTP-NP'!$E$50</f>
        <v>0</v>
      </c>
      <c r="M127" s="456" t="s">
        <v>561</v>
      </c>
      <c r="N127" s="446" t="s">
        <v>560</v>
      </c>
      <c r="O127" s="196">
        <f>SUM('7990NTP-NP'!$N$50*1)</f>
        <v>0</v>
      </c>
      <c r="P127" s="216">
        <f>'7990NTP-NP'!$F$50</f>
        <v>0</v>
      </c>
      <c r="Q127" s="456" t="s">
        <v>561</v>
      </c>
      <c r="R127" s="446" t="s">
        <v>560</v>
      </c>
      <c r="S127" s="196">
        <f>SUM('7990NTP-NP'!$O$50*1)</f>
        <v>0</v>
      </c>
      <c r="T127" s="207">
        <f>'7990NTP-NP'!$G$50</f>
        <v>0</v>
      </c>
      <c r="U127" s="457" t="s">
        <v>561</v>
      </c>
      <c r="V127" s="446" t="s">
        <v>560</v>
      </c>
      <c r="W127" s="196">
        <f>SUM('7990NTP-NP'!$P$50*1)</f>
        <v>0</v>
      </c>
      <c r="X127" s="216">
        <f>'7990NTP-NP'!$H$50</f>
        <v>0</v>
      </c>
      <c r="Y127" s="456" t="s">
        <v>561</v>
      </c>
      <c r="Z127" s="446" t="s">
        <v>560</v>
      </c>
      <c r="AA127" s="196">
        <f>SUM('7990NTP-NP'!$Q$50*1)</f>
        <v>0</v>
      </c>
      <c r="AB127" s="216">
        <f>'7990NTP-NP'!$I$50</f>
        <v>0</v>
      </c>
      <c r="AC127" s="199">
        <f>IF(C127+G127+K127+O127+S127+W127+AA127&gt;0,C127+G127+K127+O127+S127+W127+AA127,0)</f>
        <v>0</v>
      </c>
      <c r="AD127" s="153"/>
    </row>
    <row r="128" spans="1:30" ht="13.8" hidden="1" x14ac:dyDescent="0.25">
      <c r="A128" s="194"/>
      <c r="B128" s="113"/>
      <c r="C128" s="235"/>
      <c r="D128" s="236"/>
      <c r="E128" s="141"/>
      <c r="F128" s="237"/>
      <c r="G128" s="238"/>
      <c r="H128" s="236"/>
      <c r="I128" s="141"/>
      <c r="J128" s="113"/>
      <c r="K128" s="238"/>
      <c r="L128" s="236"/>
      <c r="M128" s="141"/>
      <c r="N128" s="113"/>
      <c r="O128" s="238"/>
      <c r="P128" s="236"/>
      <c r="Q128" s="141"/>
      <c r="R128" s="113"/>
      <c r="S128" s="238"/>
      <c r="T128" s="236"/>
      <c r="U128" s="141"/>
      <c r="V128" s="113"/>
      <c r="W128" s="238"/>
      <c r="X128" s="236"/>
      <c r="Y128" s="141"/>
      <c r="Z128" s="113"/>
      <c r="AA128" s="238"/>
      <c r="AB128" s="236"/>
      <c r="AC128" s="199"/>
      <c r="AD128" s="153"/>
    </row>
    <row r="129" spans="1:30" ht="64.95" hidden="1" customHeight="1" x14ac:dyDescent="0.25">
      <c r="A129" s="194" t="s">
        <v>109</v>
      </c>
      <c r="B129" s="195" t="s">
        <v>110</v>
      </c>
      <c r="C129" s="196" t="e">
        <f>SUM('7990NTP-NP'!#REF!*1)</f>
        <v>#REF!</v>
      </c>
      <c r="D129" s="216" t="e">
        <f>'7990NTP-NP'!#REF!</f>
        <v>#REF!</v>
      </c>
      <c r="E129" s="194" t="s">
        <v>109</v>
      </c>
      <c r="F129" s="197" t="s">
        <v>110</v>
      </c>
      <c r="G129" s="196" t="e">
        <f>SUM('7990NTP-NP'!#REF!*1)</f>
        <v>#REF!</v>
      </c>
      <c r="H129" s="216" t="e">
        <f>'7990NTP-NP'!#REF!</f>
        <v>#REF!</v>
      </c>
      <c r="I129" s="194" t="s">
        <v>109</v>
      </c>
      <c r="J129" s="195" t="s">
        <v>110</v>
      </c>
      <c r="K129" s="196" t="e">
        <f>SUM('7990NTP-NP'!#REF!*1)</f>
        <v>#REF!</v>
      </c>
      <c r="L129" s="216" t="e">
        <f>'7990NTP-NP'!#REF!</f>
        <v>#REF!</v>
      </c>
      <c r="M129" s="202" t="s">
        <v>286</v>
      </c>
      <c r="N129" s="195" t="s">
        <v>287</v>
      </c>
      <c r="O129" s="196" t="e">
        <f>SUM('7990NTP-NP'!#REF!*1)</f>
        <v>#REF!</v>
      </c>
      <c r="P129" s="216" t="e">
        <f>'7990NTP-NP'!#REF!</f>
        <v>#REF!</v>
      </c>
      <c r="Q129" s="202" t="s">
        <v>286</v>
      </c>
      <c r="R129" s="195" t="s">
        <v>287</v>
      </c>
      <c r="S129" s="196" t="e">
        <f>SUM('7990NTP-NP'!#REF!*1)</f>
        <v>#REF!</v>
      </c>
      <c r="T129" s="216" t="e">
        <f>'7990NTP-NP'!#REF!</f>
        <v>#REF!</v>
      </c>
      <c r="U129" s="194" t="s">
        <v>286</v>
      </c>
      <c r="V129" s="195" t="s">
        <v>287</v>
      </c>
      <c r="W129" s="196" t="e">
        <f>SUM('7990NTP-NP'!#REF!*1)</f>
        <v>#REF!</v>
      </c>
      <c r="X129" s="216" t="e">
        <f>'7990NTP-NP'!#REF!</f>
        <v>#REF!</v>
      </c>
      <c r="Y129" s="194" t="s">
        <v>286</v>
      </c>
      <c r="Z129" s="195" t="s">
        <v>287</v>
      </c>
      <c r="AA129" s="196" t="e">
        <f>SUM('7990NTP-NP'!#REF!*1)</f>
        <v>#REF!</v>
      </c>
      <c r="AB129" s="216" t="e">
        <f>'7990NTP-NP'!#REF!</f>
        <v>#REF!</v>
      </c>
      <c r="AC129" s="199" t="e">
        <f>IF(C129+G129+K129+O129+S129+W129+AA129&gt;0,C129+G129+K129+O129+S129+W129+AA129,0)</f>
        <v>#REF!</v>
      </c>
      <c r="AD129" s="153"/>
    </row>
    <row r="130" spans="1:30" ht="13.8" hidden="1" x14ac:dyDescent="0.25">
      <c r="A130" s="194"/>
      <c r="B130" s="113"/>
      <c r="C130" s="235"/>
      <c r="D130" s="236"/>
      <c r="E130" s="141"/>
      <c r="F130" s="237"/>
      <c r="G130" s="238"/>
      <c r="H130" s="236"/>
      <c r="I130" s="141"/>
      <c r="J130" s="113"/>
      <c r="K130" s="238"/>
      <c r="L130" s="236"/>
      <c r="M130" s="141"/>
      <c r="N130" s="113"/>
      <c r="O130" s="238"/>
      <c r="P130" s="236"/>
      <c r="Q130" s="141"/>
      <c r="R130" s="113"/>
      <c r="S130" s="238"/>
      <c r="T130" s="236"/>
      <c r="U130" s="141"/>
      <c r="V130" s="113"/>
      <c r="W130" s="238"/>
      <c r="X130" s="236"/>
      <c r="Y130" s="141"/>
      <c r="Z130" s="113"/>
      <c r="AA130" s="238"/>
      <c r="AB130" s="236"/>
      <c r="AC130" s="199"/>
      <c r="AD130" s="153"/>
    </row>
    <row r="131" spans="1:30" ht="79.2" hidden="1" x14ac:dyDescent="0.25">
      <c r="A131" s="194" t="s">
        <v>116</v>
      </c>
      <c r="B131" s="195" t="s">
        <v>117</v>
      </c>
      <c r="C131" s="196">
        <f>SUM('7990NTP-NP'!$K$39*1)</f>
        <v>0</v>
      </c>
      <c r="D131" s="216">
        <f>'7990NTP-NP'!$C$39</f>
        <v>0</v>
      </c>
      <c r="E131" s="194" t="s">
        <v>116</v>
      </c>
      <c r="F131" s="197" t="s">
        <v>117</v>
      </c>
      <c r="G131" s="196">
        <f>SUM('7990NTP-NP'!$L$39*1)</f>
        <v>0</v>
      </c>
      <c r="H131" s="216">
        <f>'7990NTP-NP'!$D$39</f>
        <v>0</v>
      </c>
      <c r="I131" s="194" t="s">
        <v>116</v>
      </c>
      <c r="J131" s="195" t="s">
        <v>117</v>
      </c>
      <c r="K131" s="196">
        <f>SUM('7990NTP-NP'!M39*1)</f>
        <v>0</v>
      </c>
      <c r="L131" s="216">
        <f>'7990NTP-NP'!E39</f>
        <v>0</v>
      </c>
      <c r="M131" s="202" t="s">
        <v>278</v>
      </c>
      <c r="N131" s="195" t="s">
        <v>279</v>
      </c>
      <c r="O131" s="196">
        <f>SUM('7990NTP-NP'!N39*1)</f>
        <v>0</v>
      </c>
      <c r="P131" s="216">
        <f>'7990NTP-NP'!F39</f>
        <v>0</v>
      </c>
      <c r="Q131" s="194" t="s">
        <v>278</v>
      </c>
      <c r="R131" s="195" t="s">
        <v>354</v>
      </c>
      <c r="S131" s="196">
        <f>SUM('7990NTP-NP'!O39*1)</f>
        <v>0</v>
      </c>
      <c r="T131" s="216">
        <f>'7990NTP-NP'!G39</f>
        <v>0</v>
      </c>
      <c r="U131" s="194" t="s">
        <v>278</v>
      </c>
      <c r="V131" s="195" t="s">
        <v>354</v>
      </c>
      <c r="W131" s="196">
        <f>SUM('7990NTP-NP'!P39*1)</f>
        <v>0</v>
      </c>
      <c r="X131" s="216">
        <f>'7990NTP-NP'!H39</f>
        <v>0</v>
      </c>
      <c r="Y131" s="194" t="s">
        <v>278</v>
      </c>
      <c r="Z131" s="195" t="s">
        <v>354</v>
      </c>
      <c r="AA131" s="196">
        <f>SUM('7990NTP-NP'!Q39*1)</f>
        <v>0</v>
      </c>
      <c r="AB131" s="216">
        <f>'7990NTP-NP'!I39</f>
        <v>0</v>
      </c>
      <c r="AC131" s="199">
        <f>IF(C131+G131+K131+O131+S131+W131+AA131&gt;0,C131+G131+K131+O131+S131+W131+AA131,0)</f>
        <v>0</v>
      </c>
      <c r="AD131" s="153"/>
    </row>
    <row r="132" spans="1:30" ht="13.8" hidden="1" x14ac:dyDescent="0.25">
      <c r="A132" s="194"/>
      <c r="B132" s="113"/>
      <c r="C132" s="235"/>
      <c r="D132" s="236"/>
      <c r="E132" s="141"/>
      <c r="F132" s="237"/>
      <c r="G132" s="238"/>
      <c r="H132" s="236"/>
      <c r="I132" s="141"/>
      <c r="J132" s="113"/>
      <c r="K132" s="238"/>
      <c r="L132" s="236"/>
      <c r="M132" s="141"/>
      <c r="N132" s="113"/>
      <c r="O132" s="238"/>
      <c r="P132" s="236"/>
      <c r="Q132" s="141"/>
      <c r="R132" s="113"/>
      <c r="S132" s="238"/>
      <c r="T132" s="236"/>
      <c r="U132" s="141"/>
      <c r="V132" s="113"/>
      <c r="W132" s="238"/>
      <c r="X132" s="236"/>
      <c r="Y132" s="141"/>
      <c r="Z132" s="113"/>
      <c r="AA132" s="238"/>
      <c r="AB132" s="236"/>
      <c r="AC132" s="199"/>
      <c r="AD132" s="153"/>
    </row>
    <row r="133" spans="1:30" ht="75.45" hidden="1" customHeight="1" x14ac:dyDescent="0.25">
      <c r="A133" s="194" t="s">
        <v>111</v>
      </c>
      <c r="B133" s="195" t="s">
        <v>112</v>
      </c>
      <c r="C133" s="196">
        <f>SUM('7990NTP-NP'!$K$40*1)</f>
        <v>0</v>
      </c>
      <c r="D133" s="216">
        <f>'7990NTP-NP'!$C$40</f>
        <v>0</v>
      </c>
      <c r="E133" s="194" t="s">
        <v>111</v>
      </c>
      <c r="F133" s="197" t="s">
        <v>112</v>
      </c>
      <c r="G133" s="196">
        <f>SUM('7990NTP-NP'!$L$40*1)</f>
        <v>0</v>
      </c>
      <c r="H133" s="216">
        <f>'7990NTP-NP'!$D$40</f>
        <v>0</v>
      </c>
      <c r="I133" s="194" t="s">
        <v>111</v>
      </c>
      <c r="J133" s="197" t="s">
        <v>112</v>
      </c>
      <c r="K133" s="196">
        <f>SUM('7990NTP-NP'!M40*1)</f>
        <v>0</v>
      </c>
      <c r="L133" s="216">
        <f>'7990NTP-NP'!E40</f>
        <v>0</v>
      </c>
      <c r="M133" s="202" t="s">
        <v>288</v>
      </c>
      <c r="N133" s="195" t="s">
        <v>289</v>
      </c>
      <c r="O133" s="196">
        <f>SUM('7990NTP-NP'!N40*1)</f>
        <v>0</v>
      </c>
      <c r="P133" s="216">
        <f>'7990NTP-NP'!F40</f>
        <v>0</v>
      </c>
      <c r="Q133" s="194" t="s">
        <v>288</v>
      </c>
      <c r="R133" s="195" t="s">
        <v>289</v>
      </c>
      <c r="S133" s="196">
        <f>SUM('7990NTP-NP'!O40*1)</f>
        <v>0</v>
      </c>
      <c r="T133" s="216">
        <f>'7990NTP-NP'!G40</f>
        <v>0</v>
      </c>
      <c r="U133" s="194" t="s">
        <v>288</v>
      </c>
      <c r="V133" s="195" t="s">
        <v>289</v>
      </c>
      <c r="W133" s="196">
        <f>SUM('7990NTP-NP'!P40*1)</f>
        <v>0</v>
      </c>
      <c r="X133" s="216">
        <f>'7990NTP-NP'!H40</f>
        <v>0</v>
      </c>
      <c r="Y133" s="194" t="s">
        <v>288</v>
      </c>
      <c r="Z133" s="195" t="s">
        <v>289</v>
      </c>
      <c r="AA133" s="196">
        <f>SUM('7990NTP-NP'!Q40*1)</f>
        <v>0</v>
      </c>
      <c r="AB133" s="216">
        <f>'7990NTP-NP'!I40</f>
        <v>0</v>
      </c>
      <c r="AC133" s="199">
        <f>IF(C133+G133+K133+O133+S133+W133+AA133&gt;0,C133+G133+K133+O133+S133+W133+AA133,0)</f>
        <v>0</v>
      </c>
      <c r="AD133" s="153"/>
    </row>
    <row r="134" spans="1:30" ht="13.8" hidden="1" x14ac:dyDescent="0.25">
      <c r="A134" s="194"/>
      <c r="B134" s="113"/>
      <c r="C134" s="235"/>
      <c r="D134" s="236"/>
      <c r="E134" s="141"/>
      <c r="F134" s="237"/>
      <c r="G134" s="238"/>
      <c r="H134" s="236"/>
      <c r="I134" s="141"/>
      <c r="J134" s="113"/>
      <c r="K134" s="238"/>
      <c r="L134" s="236"/>
      <c r="M134" s="141"/>
      <c r="N134" s="113"/>
      <c r="O134" s="238"/>
      <c r="P134" s="236"/>
      <c r="Q134" s="141"/>
      <c r="R134" s="113"/>
      <c r="S134" s="238"/>
      <c r="T134" s="236"/>
      <c r="U134" s="141"/>
      <c r="V134" s="113"/>
      <c r="W134" s="238"/>
      <c r="X134" s="236"/>
      <c r="Y134" s="141"/>
      <c r="Z134" s="113"/>
      <c r="AA134" s="238"/>
      <c r="AB134" s="236"/>
      <c r="AC134" s="199"/>
      <c r="AD134" s="153"/>
    </row>
    <row r="135" spans="1:30" ht="66" hidden="1" x14ac:dyDescent="0.25">
      <c r="A135" s="194" t="s">
        <v>113</v>
      </c>
      <c r="B135" s="195" t="s">
        <v>114</v>
      </c>
      <c r="C135" s="196" t="e">
        <f>SUM('7990NTP-NP'!#REF!*1)</f>
        <v>#REF!</v>
      </c>
      <c r="D135" s="216" t="e">
        <f>'7990NTP-NP'!#REF!</f>
        <v>#REF!</v>
      </c>
      <c r="E135" s="194" t="s">
        <v>113</v>
      </c>
      <c r="F135" s="197" t="s">
        <v>114</v>
      </c>
      <c r="G135" s="196" t="e">
        <f>SUM('7990NTP-NP'!#REF!*1)</f>
        <v>#REF!</v>
      </c>
      <c r="H135" s="216" t="e">
        <f>'7990NTP-NP'!#REF!</f>
        <v>#REF!</v>
      </c>
      <c r="I135" s="194" t="s">
        <v>113</v>
      </c>
      <c r="J135" s="195" t="s">
        <v>114</v>
      </c>
      <c r="K135" s="196" t="e">
        <f>SUM('7990NTP-NP'!#REF!*1)</f>
        <v>#REF!</v>
      </c>
      <c r="L135" s="216" t="e">
        <f>'7990NTP-NP'!#REF!</f>
        <v>#REF!</v>
      </c>
      <c r="M135" s="202" t="s">
        <v>290</v>
      </c>
      <c r="N135" s="195" t="s">
        <v>291</v>
      </c>
      <c r="O135" s="196" t="e">
        <f>SUM('7990NTP-NP'!#REF!*1)</f>
        <v>#REF!</v>
      </c>
      <c r="P135" s="216" t="e">
        <f>'7990NTP-NP'!#REF!</f>
        <v>#REF!</v>
      </c>
      <c r="Q135" s="194" t="s">
        <v>290</v>
      </c>
      <c r="R135" s="195" t="s">
        <v>291</v>
      </c>
      <c r="S135" s="196" t="e">
        <f>SUM('7990NTP-NP'!#REF!*1)</f>
        <v>#REF!</v>
      </c>
      <c r="T135" s="216" t="e">
        <f>'7990NTP-NP'!#REF!</f>
        <v>#REF!</v>
      </c>
      <c r="U135" s="194" t="s">
        <v>290</v>
      </c>
      <c r="V135" s="195" t="s">
        <v>291</v>
      </c>
      <c r="W135" s="196" t="e">
        <f>SUM('7990NTP-NP'!#REF!*1)</f>
        <v>#REF!</v>
      </c>
      <c r="X135" s="216" t="e">
        <f>'7990NTP-NP'!#REF!</f>
        <v>#REF!</v>
      </c>
      <c r="Y135" s="194" t="s">
        <v>290</v>
      </c>
      <c r="Z135" s="195" t="s">
        <v>291</v>
      </c>
      <c r="AA135" s="196" t="e">
        <f>SUM('7990NTP-NP'!#REF!*1)</f>
        <v>#REF!</v>
      </c>
      <c r="AB135" s="216" t="e">
        <f>'7990NTP-NP'!#REF!</f>
        <v>#REF!</v>
      </c>
      <c r="AC135" s="199" t="e">
        <f>IF(C135+G135+K135+O135+S135+W135+AA135&gt;0,C135+G135+K135+O135+S135+W135+AA135,0)</f>
        <v>#REF!</v>
      </c>
      <c r="AD135" s="153"/>
    </row>
    <row r="136" spans="1:30" ht="13.8" hidden="1" x14ac:dyDescent="0.25">
      <c r="A136" s="194"/>
      <c r="B136" s="195"/>
      <c r="C136" s="196"/>
      <c r="D136" s="216"/>
      <c r="E136" s="202"/>
      <c r="F136" s="197"/>
      <c r="G136" s="196"/>
      <c r="H136" s="216"/>
      <c r="I136" s="202"/>
      <c r="J136" s="195"/>
      <c r="K136" s="196"/>
      <c r="L136" s="216"/>
      <c r="M136" s="202"/>
      <c r="N136" s="195"/>
      <c r="O136" s="196"/>
      <c r="P136" s="216"/>
      <c r="Q136" s="202"/>
      <c r="R136" s="195"/>
      <c r="S136" s="196"/>
      <c r="T136" s="216"/>
      <c r="U136" s="202"/>
      <c r="V136" s="195"/>
      <c r="W136" s="196"/>
      <c r="X136" s="216"/>
      <c r="Y136" s="202"/>
      <c r="Z136" s="195"/>
      <c r="AA136" s="196"/>
      <c r="AB136" s="216"/>
      <c r="AC136" s="199"/>
      <c r="AD136" s="153"/>
    </row>
    <row r="137" spans="1:30" ht="66" hidden="1" x14ac:dyDescent="0.25">
      <c r="A137" s="230" t="s">
        <v>230</v>
      </c>
      <c r="B137" s="195" t="s">
        <v>227</v>
      </c>
      <c r="C137" s="196">
        <f>SUM('7990NTP-NP'!$K$42*1)</f>
        <v>0</v>
      </c>
      <c r="D137" s="216">
        <f>'7990NTP-NP'!$C$42</f>
        <v>0</v>
      </c>
      <c r="E137" s="231" t="s">
        <v>230</v>
      </c>
      <c r="F137" s="197" t="s">
        <v>227</v>
      </c>
      <c r="G137" s="196">
        <f>SUM('7990NTP-NP'!$L$42*1)</f>
        <v>0</v>
      </c>
      <c r="H137" s="216">
        <f>'7990NTP-NP'!$D$42</f>
        <v>0</v>
      </c>
      <c r="I137" s="231" t="s">
        <v>230</v>
      </c>
      <c r="J137" s="195" t="s">
        <v>227</v>
      </c>
      <c r="K137" s="196">
        <f>SUM('7990NTP-NP'!M42*1)</f>
        <v>0</v>
      </c>
      <c r="L137" s="216">
        <f>'7990NTP-NP'!E42</f>
        <v>0</v>
      </c>
      <c r="M137" s="231" t="s">
        <v>348</v>
      </c>
      <c r="N137" s="195" t="s">
        <v>349</v>
      </c>
      <c r="O137" s="196">
        <f>SUM('7990NTP-NP'!N42*1)</f>
        <v>0</v>
      </c>
      <c r="P137" s="216">
        <f>'7990NTP-NP'!F42</f>
        <v>0</v>
      </c>
      <c r="Q137" s="231" t="s">
        <v>348</v>
      </c>
      <c r="R137" s="195" t="s">
        <v>349</v>
      </c>
      <c r="S137" s="196">
        <f>SUM('7990NTP-NP'!O42*1)</f>
        <v>0</v>
      </c>
      <c r="T137" s="216">
        <f>'7990NTP-NP'!G42</f>
        <v>0</v>
      </c>
      <c r="U137" s="231" t="s">
        <v>348</v>
      </c>
      <c r="V137" s="195" t="s">
        <v>349</v>
      </c>
      <c r="W137" s="196">
        <f>SUM('7990NTP-NP'!P42*1)</f>
        <v>0</v>
      </c>
      <c r="X137" s="216">
        <f>'7990NTP-NP'!H42</f>
        <v>0</v>
      </c>
      <c r="Y137" s="231" t="s">
        <v>348</v>
      </c>
      <c r="Z137" s="195" t="s">
        <v>349</v>
      </c>
      <c r="AA137" s="196">
        <f>SUM('7990NTP-NP'!Q42*1)</f>
        <v>0</v>
      </c>
      <c r="AB137" s="216">
        <f>'7990NTP-NP'!I42</f>
        <v>0</v>
      </c>
      <c r="AC137" s="199">
        <f>IF(C137+G137+K137+O137+S137+W137+AA137&gt;0,C137+G137+K137+O137+S137+W137+AA137,0)</f>
        <v>0</v>
      </c>
      <c r="AD137" s="153"/>
    </row>
    <row r="138" spans="1:30" ht="13.8" hidden="1" x14ac:dyDescent="0.25">
      <c r="A138" s="226"/>
      <c r="B138" s="195"/>
      <c r="C138" s="196"/>
      <c r="D138" s="216"/>
      <c r="E138" s="202"/>
      <c r="F138" s="197"/>
      <c r="G138" s="196"/>
      <c r="H138" s="216"/>
      <c r="I138" s="202"/>
      <c r="J138" s="195"/>
      <c r="K138" s="196"/>
      <c r="L138" s="216"/>
      <c r="M138" s="202"/>
      <c r="N138" s="195"/>
      <c r="O138" s="196"/>
      <c r="P138" s="216"/>
      <c r="Q138" s="202"/>
      <c r="R138" s="195"/>
      <c r="S138" s="196"/>
      <c r="T138" s="216"/>
      <c r="U138" s="202"/>
      <c r="V138" s="195"/>
      <c r="W138" s="196"/>
      <c r="X138" s="216"/>
      <c r="Y138" s="202"/>
      <c r="Z138" s="195"/>
      <c r="AA138" s="196"/>
      <c r="AB138" s="216"/>
      <c r="AC138" s="199"/>
      <c r="AD138" s="153"/>
    </row>
    <row r="139" spans="1:30" ht="64.05" hidden="1" customHeight="1" x14ac:dyDescent="0.25">
      <c r="A139" s="230" t="s">
        <v>231</v>
      </c>
      <c r="B139" s="195" t="s">
        <v>228</v>
      </c>
      <c r="C139" s="196">
        <f>SUM('7990NTP-NP'!$K$43*1)</f>
        <v>0</v>
      </c>
      <c r="D139" s="216">
        <f>'7990NTP-NP'!$C$43</f>
        <v>0</v>
      </c>
      <c r="E139" s="231" t="s">
        <v>231</v>
      </c>
      <c r="F139" s="197" t="s">
        <v>228</v>
      </c>
      <c r="G139" s="196">
        <f>SUM('7990NTP-NP'!$L$43*1)</f>
        <v>0</v>
      </c>
      <c r="H139" s="216">
        <f>'7990NTP-NP'!$D$43</f>
        <v>0</v>
      </c>
      <c r="I139" s="231" t="s">
        <v>231</v>
      </c>
      <c r="J139" s="195" t="s">
        <v>228</v>
      </c>
      <c r="K139" s="196">
        <f>SUM('7990NTP-NP'!M43*1)</f>
        <v>0</v>
      </c>
      <c r="L139" s="216">
        <f>'7990NTP-NP'!E43</f>
        <v>0</v>
      </c>
      <c r="M139" s="231" t="s">
        <v>351</v>
      </c>
      <c r="N139" s="195" t="s">
        <v>352</v>
      </c>
      <c r="O139" s="196">
        <f>SUM('7990NTP-NP'!N43*1)</f>
        <v>0</v>
      </c>
      <c r="P139" s="216">
        <f>'7990NTP-NP'!F43</f>
        <v>0</v>
      </c>
      <c r="Q139" s="231" t="s">
        <v>351</v>
      </c>
      <c r="R139" s="195" t="s">
        <v>352</v>
      </c>
      <c r="S139" s="196">
        <f>SUM('7990NTP-NP'!O43*1)</f>
        <v>0</v>
      </c>
      <c r="T139" s="216">
        <f>'7990NTP-NP'!G43</f>
        <v>0</v>
      </c>
      <c r="U139" s="231" t="s">
        <v>351</v>
      </c>
      <c r="V139" s="195" t="s">
        <v>352</v>
      </c>
      <c r="W139" s="196">
        <f>SUM('7990NTP-NP'!P43*1)</f>
        <v>0</v>
      </c>
      <c r="X139" s="216">
        <f>'7990NTP-NP'!H43</f>
        <v>0</v>
      </c>
      <c r="Y139" s="231" t="s">
        <v>351</v>
      </c>
      <c r="Z139" s="195" t="s">
        <v>352</v>
      </c>
      <c r="AA139" s="196">
        <f>SUM('7990NTP-NP'!Q43*1)</f>
        <v>0</v>
      </c>
      <c r="AB139" s="216">
        <f>'7990NTP-NP'!I43</f>
        <v>0</v>
      </c>
      <c r="AC139" s="199">
        <f>IF(C139+G139+K139+O139+S139+W139+AA139&gt;0,C139+G139+K139+O139+S139+W139+AA139,0)</f>
        <v>0</v>
      </c>
      <c r="AD139" s="153"/>
    </row>
    <row r="140" spans="1:30" ht="13.8" hidden="1" x14ac:dyDescent="0.25">
      <c r="A140" s="226"/>
      <c r="B140" s="195"/>
      <c r="C140" s="196"/>
      <c r="D140" s="216"/>
      <c r="E140" s="202"/>
      <c r="F140" s="197"/>
      <c r="G140" s="196"/>
      <c r="H140" s="216"/>
      <c r="I140" s="202"/>
      <c r="J140" s="195"/>
      <c r="K140" s="196"/>
      <c r="L140" s="216"/>
      <c r="M140" s="202"/>
      <c r="N140" s="195"/>
      <c r="O140" s="196"/>
      <c r="P140" s="216"/>
      <c r="Q140" s="202"/>
      <c r="R140" s="195"/>
      <c r="S140" s="196"/>
      <c r="T140" s="216"/>
      <c r="U140" s="202"/>
      <c r="V140" s="195"/>
      <c r="W140" s="196"/>
      <c r="X140" s="216"/>
      <c r="Y140" s="202"/>
      <c r="Z140" s="195"/>
      <c r="AA140" s="196"/>
      <c r="AB140" s="216"/>
      <c r="AC140" s="199"/>
      <c r="AD140" s="153"/>
    </row>
    <row r="141" spans="1:30" ht="52.8" hidden="1" x14ac:dyDescent="0.25">
      <c r="A141" s="230" t="s">
        <v>136</v>
      </c>
      <c r="B141" s="195" t="s">
        <v>140</v>
      </c>
      <c r="C141" s="196" t="e">
        <f>ROUNDDOWN('7990NTP-NP'!#REF!*0.5,2)</f>
        <v>#REF!</v>
      </c>
      <c r="D141" s="216" t="e">
        <f>'7990NTP-NP'!#REF!</f>
        <v>#REF!</v>
      </c>
      <c r="E141" s="231" t="s">
        <v>136</v>
      </c>
      <c r="F141" s="197" t="s">
        <v>140</v>
      </c>
      <c r="G141" s="196" t="e">
        <f>ROUNDDOWN('7990NTP-NP'!#REF!*0.5,2)</f>
        <v>#REF!</v>
      </c>
      <c r="H141" s="216" t="e">
        <f>'7990NTP-NP'!#REF!</f>
        <v>#REF!</v>
      </c>
      <c r="I141" s="231" t="s">
        <v>136</v>
      </c>
      <c r="J141" s="195" t="s">
        <v>140</v>
      </c>
      <c r="K141" s="196" t="e">
        <f>ROUNDDOWN('7990NTP-NP'!#REF!*0.5,2)</f>
        <v>#REF!</v>
      </c>
      <c r="L141" s="216" t="e">
        <f>'7990NTP-NP'!#REF!</f>
        <v>#REF!</v>
      </c>
      <c r="M141" s="231" t="s">
        <v>292</v>
      </c>
      <c r="N141" s="195" t="s">
        <v>294</v>
      </c>
      <c r="O141" s="196" t="e">
        <f>ROUNDDOWN('7990NTP-NP'!#REF!*0.5,2)</f>
        <v>#REF!</v>
      </c>
      <c r="P141" s="216" t="e">
        <f>'7990NTP-NP'!#REF!</f>
        <v>#REF!</v>
      </c>
      <c r="Q141" s="202" t="s">
        <v>292</v>
      </c>
      <c r="R141" s="195" t="s">
        <v>294</v>
      </c>
      <c r="S141" s="196" t="e">
        <f>ROUNDDOWN('7990NTP-NP'!#REF!*0.5,2)</f>
        <v>#REF!</v>
      </c>
      <c r="T141" s="216" t="e">
        <f>'7990NTP-NP'!#REF!</f>
        <v>#REF!</v>
      </c>
      <c r="U141" s="202" t="s">
        <v>292</v>
      </c>
      <c r="V141" s="195" t="s">
        <v>294</v>
      </c>
      <c r="W141" s="196" t="e">
        <f>ROUNDDOWN('7990NTP-NP'!#REF!*0.5,2)</f>
        <v>#REF!</v>
      </c>
      <c r="X141" s="216" t="e">
        <f>'7990NTP-NP'!#REF!</f>
        <v>#REF!</v>
      </c>
      <c r="Y141" s="202" t="s">
        <v>292</v>
      </c>
      <c r="Z141" s="195" t="s">
        <v>294</v>
      </c>
      <c r="AA141" s="196" t="e">
        <f>ROUNDDOWN('7990NTP-NP'!#REF!*0.5,2)</f>
        <v>#REF!</v>
      </c>
      <c r="AB141" s="216" t="e">
        <f>'7990NTP-NP'!#REF!</f>
        <v>#REF!</v>
      </c>
      <c r="AC141" s="199" t="e">
        <f>IF(C141+G141+K141+O141+S141+W141+AA141&gt;0,C141+G141+K141+O141+S141+W141+AA141,0)</f>
        <v>#REF!</v>
      </c>
      <c r="AD141" s="153"/>
    </row>
    <row r="142" spans="1:30" ht="52.8" hidden="1" x14ac:dyDescent="0.25">
      <c r="A142" s="230" t="s">
        <v>137</v>
      </c>
      <c r="B142" s="195" t="s">
        <v>141</v>
      </c>
      <c r="C142" s="196" t="e">
        <f>ROUNDUP('7990NTP-NP'!#REF!*0.5,2)</f>
        <v>#REF!</v>
      </c>
      <c r="D142" s="216"/>
      <c r="E142" s="231" t="s">
        <v>137</v>
      </c>
      <c r="F142" s="197" t="s">
        <v>141</v>
      </c>
      <c r="G142" s="196" t="e">
        <f>ROUNDUP('7990NTP-NP'!#REF!*0.5,2)</f>
        <v>#REF!</v>
      </c>
      <c r="H142" s="216"/>
      <c r="I142" s="231" t="s">
        <v>137</v>
      </c>
      <c r="J142" s="195" t="s">
        <v>141</v>
      </c>
      <c r="K142" s="196" t="e">
        <f>ROUNDUP('7990NTP-NP'!#REF!*0.5,2)</f>
        <v>#REF!</v>
      </c>
      <c r="L142" s="216"/>
      <c r="M142" s="231" t="s">
        <v>293</v>
      </c>
      <c r="N142" s="195" t="s">
        <v>295</v>
      </c>
      <c r="O142" s="196" t="e">
        <f>ROUNDUP('7990NTP-NP'!#REF!*0.5,2)</f>
        <v>#REF!</v>
      </c>
      <c r="P142" s="216"/>
      <c r="Q142" s="202" t="s">
        <v>293</v>
      </c>
      <c r="R142" s="195" t="s">
        <v>295</v>
      </c>
      <c r="S142" s="196" t="e">
        <f>ROUNDUP('7990NTP-NP'!#REF!*0.5,2)</f>
        <v>#REF!</v>
      </c>
      <c r="T142" s="216"/>
      <c r="U142" s="202" t="s">
        <v>293</v>
      </c>
      <c r="V142" s="195" t="s">
        <v>295</v>
      </c>
      <c r="W142" s="196" t="e">
        <f>ROUNDUP('7990NTP-NP'!#REF!*0.5,2)</f>
        <v>#REF!</v>
      </c>
      <c r="X142" s="216"/>
      <c r="Y142" s="202" t="s">
        <v>293</v>
      </c>
      <c r="Z142" s="195" t="s">
        <v>295</v>
      </c>
      <c r="AA142" s="196" t="e">
        <f>ROUNDUP('7990NTP-NP'!#REF!*0.5,2)</f>
        <v>#REF!</v>
      </c>
      <c r="AB142" s="216"/>
      <c r="AC142" s="199" t="e">
        <f>IF(C142+G142+K142+O142+S142+W142+AA142&gt;0,C142+G142+K142+O142+S142+W142+AA142,0)</f>
        <v>#REF!</v>
      </c>
      <c r="AD142" s="153"/>
    </row>
    <row r="143" spans="1:30" ht="13.8" hidden="1" x14ac:dyDescent="0.25">
      <c r="A143" s="226"/>
      <c r="B143" s="195"/>
      <c r="C143" s="196"/>
      <c r="D143" s="216"/>
      <c r="E143" s="202"/>
      <c r="F143" s="197"/>
      <c r="G143" s="196"/>
      <c r="H143" s="216"/>
      <c r="I143" s="202"/>
      <c r="J143" s="195"/>
      <c r="K143" s="196"/>
      <c r="L143" s="216"/>
      <c r="M143" s="202"/>
      <c r="N143" s="195"/>
      <c r="O143" s="196"/>
      <c r="P143" s="216"/>
      <c r="Q143" s="202"/>
      <c r="R143" s="195"/>
      <c r="S143" s="196"/>
      <c r="T143" s="216"/>
      <c r="U143" s="202"/>
      <c r="V143" s="195"/>
      <c r="W143" s="196"/>
      <c r="X143" s="216"/>
      <c r="Y143" s="202"/>
      <c r="Z143" s="195"/>
      <c r="AA143" s="196"/>
      <c r="AB143" s="216"/>
      <c r="AC143" s="199"/>
      <c r="AD143" s="153"/>
    </row>
    <row r="144" spans="1:30" ht="66" hidden="1" x14ac:dyDescent="0.25">
      <c r="A144" s="230" t="s">
        <v>199</v>
      </c>
      <c r="B144" s="195" t="s">
        <v>200</v>
      </c>
      <c r="C144" s="196">
        <f>ROUNDDOWN('7990NTP-NP'!$K$45-('7990NTP-NP'!$K$45*0.438),2)</f>
        <v>0</v>
      </c>
      <c r="D144" s="216">
        <f>'7990NTP-NP'!$C$45</f>
        <v>0</v>
      </c>
      <c r="E144" s="231" t="s">
        <v>199</v>
      </c>
      <c r="F144" s="197" t="s">
        <v>200</v>
      </c>
      <c r="G144" s="196">
        <f>ROUNDDOWN('7990NTP-NP'!$L$45-('7990NTP-NP'!$L$45*0.438),2)</f>
        <v>0</v>
      </c>
      <c r="H144" s="216">
        <f>'7990NTP-NP'!$D$45</f>
        <v>0</v>
      </c>
      <c r="I144" s="231" t="s">
        <v>199</v>
      </c>
      <c r="J144" s="195" t="s">
        <v>200</v>
      </c>
      <c r="K144" s="196">
        <f>ROUNDDOWN('7990NTP-NP'!M45-('7990NTP-NP'!M45*0.438),2)</f>
        <v>0</v>
      </c>
      <c r="L144" s="216">
        <f>'7990NTP-NP'!E45</f>
        <v>0</v>
      </c>
      <c r="M144" s="231" t="s">
        <v>296</v>
      </c>
      <c r="N144" s="195" t="s">
        <v>200</v>
      </c>
      <c r="O144" s="196">
        <f>ROUNDDOWN('7990NTP-NP'!N45-('7990NTP-NP'!N45*0.438),2)</f>
        <v>0</v>
      </c>
      <c r="P144" s="216">
        <f>'7990NTP-NP'!F45</f>
        <v>0</v>
      </c>
      <c r="Q144" s="202" t="s">
        <v>296</v>
      </c>
      <c r="R144" s="195" t="s">
        <v>200</v>
      </c>
      <c r="S144" s="196">
        <f>ROUNDDOWN('7990NTP-NP'!O45-('7990NTP-NP'!O45*0.438),2)</f>
        <v>0</v>
      </c>
      <c r="T144" s="216">
        <f>'7990NTP-NP'!G45</f>
        <v>0</v>
      </c>
      <c r="U144" s="202" t="s">
        <v>296</v>
      </c>
      <c r="V144" s="195" t="s">
        <v>200</v>
      </c>
      <c r="W144" s="196">
        <f>ROUNDDOWN('7990NTP-NP'!P45-('7990NTP-NP'!P45*0.438),2)</f>
        <v>0</v>
      </c>
      <c r="X144" s="216">
        <f>'7990NTP-NP'!H45</f>
        <v>0</v>
      </c>
      <c r="Y144" s="202" t="s">
        <v>296</v>
      </c>
      <c r="Z144" s="195" t="s">
        <v>200</v>
      </c>
      <c r="AA144" s="196">
        <f>ROUNDDOWN('7990NTP-NP'!Q45-('7990NTP-NP'!Q45*0.438),2)</f>
        <v>0</v>
      </c>
      <c r="AB144" s="216">
        <f>'7990NTP-NP'!I45</f>
        <v>0</v>
      </c>
      <c r="AC144" s="199">
        <f>IF(C144+G144+K144+O144+S144+W144+AA144&gt;0,C144+G144+K144+O144+S144+W144+AA144,0)</f>
        <v>0</v>
      </c>
      <c r="AD144" s="153"/>
    </row>
    <row r="145" spans="1:30" ht="66" hidden="1" x14ac:dyDescent="0.25">
      <c r="A145" s="230" t="s">
        <v>201</v>
      </c>
      <c r="B145" s="195" t="s">
        <v>202</v>
      </c>
      <c r="C145" s="196">
        <f>ROUNDUP('7990NTP-NP'!$K$45*0.438,2)</f>
        <v>0</v>
      </c>
      <c r="D145" s="216"/>
      <c r="E145" s="231" t="s">
        <v>201</v>
      </c>
      <c r="F145" s="197" t="s">
        <v>202</v>
      </c>
      <c r="G145" s="196">
        <f>ROUNDUP('7990NTP-NP'!$L$45*0.438,2)</f>
        <v>0</v>
      </c>
      <c r="H145" s="216"/>
      <c r="I145" s="231" t="s">
        <v>201</v>
      </c>
      <c r="J145" s="195" t="s">
        <v>202</v>
      </c>
      <c r="K145" s="196">
        <f>ROUNDUP('7990NTP-NP'!M45*0.438,2)</f>
        <v>0</v>
      </c>
      <c r="L145" s="216"/>
      <c r="M145" s="231" t="s">
        <v>297</v>
      </c>
      <c r="N145" s="195" t="s">
        <v>298</v>
      </c>
      <c r="O145" s="196">
        <f>ROUNDUP('7990NTP-NP'!N45*0.438,2)</f>
        <v>0</v>
      </c>
      <c r="P145" s="216"/>
      <c r="Q145" s="202" t="s">
        <v>297</v>
      </c>
      <c r="R145" s="195" t="s">
        <v>298</v>
      </c>
      <c r="S145" s="196">
        <f>ROUNDUP('7990NTP-NP'!O45*0.438,2)</f>
        <v>0</v>
      </c>
      <c r="T145" s="216"/>
      <c r="U145" s="202" t="s">
        <v>297</v>
      </c>
      <c r="V145" s="195" t="s">
        <v>298</v>
      </c>
      <c r="W145" s="196">
        <f>ROUNDUP('7990NTP-NP'!P45*0.438,2)</f>
        <v>0</v>
      </c>
      <c r="X145" s="216"/>
      <c r="Y145" s="202" t="s">
        <v>297</v>
      </c>
      <c r="Z145" s="195" t="s">
        <v>298</v>
      </c>
      <c r="AA145" s="196">
        <f>ROUNDUP('7990NTP-NP'!Q45*0.438,2)</f>
        <v>0</v>
      </c>
      <c r="AB145" s="216"/>
      <c r="AC145" s="199">
        <f>IF(C145+G145+K145+O145+S145+W145+AA145&gt;0,C145+G145+K145+O145+S145+W145+AA145,0)</f>
        <v>0</v>
      </c>
      <c r="AD145" s="153"/>
    </row>
    <row r="146" spans="1:30" ht="13.8" hidden="1" x14ac:dyDescent="0.25">
      <c r="A146" s="226"/>
      <c r="B146" s="195"/>
      <c r="C146" s="196"/>
      <c r="D146" s="216"/>
      <c r="E146" s="202"/>
      <c r="F146" s="197"/>
      <c r="G146" s="196"/>
      <c r="H146" s="216"/>
      <c r="I146" s="202"/>
      <c r="J146" s="195"/>
      <c r="K146" s="196"/>
      <c r="L146" s="216"/>
      <c r="M146" s="202"/>
      <c r="N146" s="195"/>
      <c r="O146" s="196"/>
      <c r="P146" s="216"/>
      <c r="Q146" s="202"/>
      <c r="R146" s="195"/>
      <c r="S146" s="196"/>
      <c r="T146" s="216"/>
      <c r="U146" s="202"/>
      <c r="V146" s="195"/>
      <c r="W146" s="196"/>
      <c r="X146" s="216"/>
      <c r="Y146" s="202"/>
      <c r="Z146" s="195"/>
      <c r="AA146" s="196"/>
      <c r="AB146" s="216"/>
      <c r="AC146" s="199"/>
      <c r="AD146" s="153"/>
    </row>
    <row r="147" spans="1:30" ht="66" hidden="1" x14ac:dyDescent="0.25">
      <c r="A147" s="123" t="s">
        <v>203</v>
      </c>
      <c r="B147" s="195" t="s">
        <v>204</v>
      </c>
      <c r="C147" s="196" t="e">
        <f>ROUNDDOWN('7990NTP-NP'!#REF!-('7990NTP-NP'!#REF!*0.3066),2)</f>
        <v>#REF!</v>
      </c>
      <c r="D147" s="216" t="e">
        <f>'7990NTP-NP'!#REF!</f>
        <v>#REF!</v>
      </c>
      <c r="E147" s="141" t="s">
        <v>203</v>
      </c>
      <c r="F147" s="197" t="s">
        <v>204</v>
      </c>
      <c r="G147" s="196" t="e">
        <f>ROUNDDOWN('7990NTP-NP'!#REF!-('7990NTP-NP'!#REF!*0.3066),2)</f>
        <v>#REF!</v>
      </c>
      <c r="H147" s="216" t="e">
        <f>'7990NTP-NP'!#REF!</f>
        <v>#REF!</v>
      </c>
      <c r="I147" s="141" t="s">
        <v>203</v>
      </c>
      <c r="J147" s="195" t="s">
        <v>204</v>
      </c>
      <c r="K147" s="196" t="e">
        <f>ROUNDDOWN('7990NTP-NP'!#REF!-('7990NTP-NP'!#REF!*0.3066),2)</f>
        <v>#REF!</v>
      </c>
      <c r="L147" s="216" t="e">
        <f>'7990NTP-NP'!#REF!</f>
        <v>#REF!</v>
      </c>
      <c r="M147" s="141" t="s">
        <v>299</v>
      </c>
      <c r="N147" s="195" t="s">
        <v>204</v>
      </c>
      <c r="O147" s="196" t="e">
        <f>ROUNDDOWN('7990NTP-NP'!#REF!-('7990NTP-NP'!#REF!*0.3066),2)</f>
        <v>#REF!</v>
      </c>
      <c r="P147" s="216" t="e">
        <f>'7990NTP-NP'!#REF!</f>
        <v>#REF!</v>
      </c>
      <c r="Q147" s="202" t="s">
        <v>299</v>
      </c>
      <c r="R147" s="195" t="s">
        <v>204</v>
      </c>
      <c r="S147" s="196" t="e">
        <f>ROUNDDOWN('7990NTP-NP'!#REF!-('7990NTP-NP'!#REF!*0.3066),2)</f>
        <v>#REF!</v>
      </c>
      <c r="T147" s="216" t="e">
        <f>'7990NTP-NP'!#REF!</f>
        <v>#REF!</v>
      </c>
      <c r="U147" s="202" t="s">
        <v>299</v>
      </c>
      <c r="V147" s="195" t="s">
        <v>204</v>
      </c>
      <c r="W147" s="196" t="e">
        <f>ROUNDDOWN('7990NTP-NP'!#REF!-('7990NTP-NP'!#REF!*0.3066),2)</f>
        <v>#REF!</v>
      </c>
      <c r="X147" s="216" t="e">
        <f>'7990NTP-NP'!#REF!</f>
        <v>#REF!</v>
      </c>
      <c r="Y147" s="202" t="s">
        <v>299</v>
      </c>
      <c r="Z147" s="195" t="s">
        <v>204</v>
      </c>
      <c r="AA147" s="196" t="e">
        <f>ROUNDDOWN('7990NTP-NP'!#REF!-('7990NTP-NP'!#REF!*0.3066),2)</f>
        <v>#REF!</v>
      </c>
      <c r="AB147" s="216" t="e">
        <f>'7990NTP-NP'!#REF!</f>
        <v>#REF!</v>
      </c>
      <c r="AC147" s="199" t="e">
        <f>IF(C147+G147+K147+O147+S147+W147+AA147&gt;0,C147+G147+K147+O147+S147+W147+AA147,0)</f>
        <v>#REF!</v>
      </c>
      <c r="AD147" s="153"/>
    </row>
    <row r="148" spans="1:30" ht="66" hidden="1" x14ac:dyDescent="0.25">
      <c r="A148" s="123" t="s">
        <v>205</v>
      </c>
      <c r="B148" s="195" t="s">
        <v>206</v>
      </c>
      <c r="C148" s="196" t="e">
        <f>ROUNDUP('7990NTP-NP'!#REF!*0.3066,2)</f>
        <v>#REF!</v>
      </c>
      <c r="D148" s="216"/>
      <c r="E148" s="141" t="s">
        <v>205</v>
      </c>
      <c r="F148" s="197" t="s">
        <v>206</v>
      </c>
      <c r="G148" s="196" t="e">
        <f>ROUNDUP('7990NTP-NP'!#REF!*0.3066,2)</f>
        <v>#REF!</v>
      </c>
      <c r="H148" s="216"/>
      <c r="I148" s="141" t="s">
        <v>205</v>
      </c>
      <c r="J148" s="195" t="s">
        <v>206</v>
      </c>
      <c r="K148" s="196" t="e">
        <f>ROUNDUP('7990NTP-NP'!#REF!*0.3066,2)</f>
        <v>#REF!</v>
      </c>
      <c r="L148" s="216"/>
      <c r="M148" s="141" t="s">
        <v>300</v>
      </c>
      <c r="N148" s="195" t="s">
        <v>301</v>
      </c>
      <c r="O148" s="196" t="e">
        <f>ROUNDUP('7990NTP-NP'!#REF!*0.3066,2)</f>
        <v>#REF!</v>
      </c>
      <c r="P148" s="216"/>
      <c r="Q148" s="202" t="s">
        <v>300</v>
      </c>
      <c r="R148" s="195" t="s">
        <v>301</v>
      </c>
      <c r="S148" s="196" t="e">
        <f>ROUNDUP('7990NTP-NP'!#REF!*0.3066,2)</f>
        <v>#REF!</v>
      </c>
      <c r="T148" s="216"/>
      <c r="U148" s="202" t="s">
        <v>300</v>
      </c>
      <c r="V148" s="195" t="s">
        <v>301</v>
      </c>
      <c r="W148" s="196" t="e">
        <f>ROUNDUP('7990NTP-NP'!#REF!*0.3066,2)</f>
        <v>#REF!</v>
      </c>
      <c r="X148" s="216"/>
      <c r="Y148" s="202" t="s">
        <v>300</v>
      </c>
      <c r="Z148" s="195" t="s">
        <v>301</v>
      </c>
      <c r="AA148" s="196" t="e">
        <f>ROUNDUP('7990NTP-NP'!#REF!*0.3066,2)</f>
        <v>#REF!</v>
      </c>
      <c r="AB148" s="216"/>
      <c r="AC148" s="199" t="e">
        <f>IF(C148+G148+K148+O148+S148+W148+AA148&gt;0,C148+G148+K148+O148+S148+W148+AA148,0)</f>
        <v>#REF!</v>
      </c>
      <c r="AD148" s="153"/>
    </row>
    <row r="149" spans="1:30" ht="13.8" hidden="1" x14ac:dyDescent="0.25">
      <c r="A149" s="226"/>
      <c r="B149" s="195"/>
      <c r="C149" s="196"/>
      <c r="D149" s="216"/>
      <c r="E149" s="202"/>
      <c r="F149" s="197"/>
      <c r="G149" s="196"/>
      <c r="H149" s="216"/>
      <c r="I149" s="202"/>
      <c r="J149" s="195"/>
      <c r="K149" s="196"/>
      <c r="L149" s="216"/>
      <c r="M149" s="202"/>
      <c r="N149" s="195"/>
      <c r="O149" s="196"/>
      <c r="P149" s="216"/>
      <c r="Q149" s="202"/>
      <c r="R149" s="195"/>
      <c r="S149" s="196"/>
      <c r="T149" s="216"/>
      <c r="U149" s="202"/>
      <c r="V149" s="195"/>
      <c r="W149" s="196"/>
      <c r="X149" s="216"/>
      <c r="Y149" s="202"/>
      <c r="Z149" s="195"/>
      <c r="AA149" s="196"/>
      <c r="AB149" s="216"/>
      <c r="AC149" s="199"/>
      <c r="AD149" s="153"/>
    </row>
    <row r="150" spans="1:30" ht="52.8" hidden="1" x14ac:dyDescent="0.25">
      <c r="A150" s="123" t="s">
        <v>134</v>
      </c>
      <c r="B150" s="195" t="s">
        <v>121</v>
      </c>
      <c r="C150" s="196">
        <f>ROUNDDOWN('7990NTP-NP'!$K$46*0.93,2)</f>
        <v>0</v>
      </c>
      <c r="D150" s="216">
        <f>'7990NTP-NP'!$C$46</f>
        <v>0</v>
      </c>
      <c r="E150" s="141" t="s">
        <v>134</v>
      </c>
      <c r="F150" s="197" t="s">
        <v>121</v>
      </c>
      <c r="G150" s="196">
        <f>ROUNDDOWN('7990NTP-NP'!$L$46*0.93,2)</f>
        <v>0</v>
      </c>
      <c r="H150" s="216">
        <f>'7990NTP-NP'!$D$46</f>
        <v>0</v>
      </c>
      <c r="I150" s="141" t="s">
        <v>134</v>
      </c>
      <c r="J150" s="195" t="s">
        <v>121</v>
      </c>
      <c r="K150" s="196">
        <f>ROUNDDOWN('7990NTP-NP'!M46*0.93,2)</f>
        <v>0</v>
      </c>
      <c r="L150" s="216">
        <f>'7990NTP-NP'!E46</f>
        <v>0</v>
      </c>
      <c r="M150" s="141" t="s">
        <v>302</v>
      </c>
      <c r="N150" s="195" t="s">
        <v>304</v>
      </c>
      <c r="O150" s="196">
        <f>ROUNDDOWN('7990NTP-NP'!N46*0.93,2)</f>
        <v>0</v>
      </c>
      <c r="P150" s="216">
        <f>'7990NTP-NP'!F46</f>
        <v>0</v>
      </c>
      <c r="Q150" s="202" t="s">
        <v>302</v>
      </c>
      <c r="R150" s="195" t="s">
        <v>304</v>
      </c>
      <c r="S150" s="196">
        <f>ROUNDDOWN('7990NTP-NP'!O46*0.93,2)</f>
        <v>0</v>
      </c>
      <c r="T150" s="216">
        <f>'7990NTP-NP'!G46</f>
        <v>0</v>
      </c>
      <c r="U150" s="202" t="s">
        <v>302</v>
      </c>
      <c r="V150" s="195" t="s">
        <v>304</v>
      </c>
      <c r="W150" s="196">
        <f>ROUNDDOWN('7990NTP-NP'!P46*0.93,2)</f>
        <v>0</v>
      </c>
      <c r="X150" s="216">
        <f>'7990NTP-NP'!H46</f>
        <v>0</v>
      </c>
      <c r="Y150" s="202" t="s">
        <v>302</v>
      </c>
      <c r="Z150" s="195" t="s">
        <v>304</v>
      </c>
      <c r="AA150" s="196">
        <f>ROUNDDOWN('7990NTP-NP'!Q46*0.93,2)</f>
        <v>0</v>
      </c>
      <c r="AB150" s="216">
        <f>'7990NTP-NP'!I46</f>
        <v>0</v>
      </c>
      <c r="AC150" s="199">
        <f>IF(C150+G150+K150+O150+S150+W150+AA150&gt;0,C150+G150+K150+O150+S150+W150+AA150,0)</f>
        <v>0</v>
      </c>
      <c r="AD150" s="153"/>
    </row>
    <row r="151" spans="1:30" ht="52.8" hidden="1" x14ac:dyDescent="0.25">
      <c r="A151" s="232" t="s">
        <v>135</v>
      </c>
      <c r="B151" s="195" t="s">
        <v>122</v>
      </c>
      <c r="C151" s="196">
        <f>ROUNDUP('7990NTP-NP'!$K$46*0.07,2)</f>
        <v>0</v>
      </c>
      <c r="D151" s="198"/>
      <c r="E151" s="194" t="s">
        <v>135</v>
      </c>
      <c r="F151" s="197" t="s">
        <v>122</v>
      </c>
      <c r="G151" s="196">
        <f>ROUNDUP('7990NTP-NP'!$L$46*0.07,2)</f>
        <v>0</v>
      </c>
      <c r="H151" s="198"/>
      <c r="I151" s="194" t="s">
        <v>135</v>
      </c>
      <c r="J151" s="195" t="s">
        <v>122</v>
      </c>
      <c r="K151" s="196">
        <f>ROUNDUP('7990NTP-NP'!M46*0.07,2)</f>
        <v>0</v>
      </c>
      <c r="L151" s="198"/>
      <c r="M151" s="194" t="s">
        <v>303</v>
      </c>
      <c r="N151" s="195" t="s">
        <v>305</v>
      </c>
      <c r="O151" s="196">
        <f>ROUNDUP('7990NTP-NP'!N46*0.07,2)</f>
        <v>0</v>
      </c>
      <c r="P151" s="198"/>
      <c r="Q151" s="233" t="s">
        <v>303</v>
      </c>
      <c r="R151" s="219" t="s">
        <v>305</v>
      </c>
      <c r="S151" s="196">
        <f>ROUNDUP('7990NTP-NP'!O46*0.07,2)</f>
        <v>0</v>
      </c>
      <c r="T151" s="198"/>
      <c r="U151" s="233" t="s">
        <v>303</v>
      </c>
      <c r="V151" s="219" t="s">
        <v>305</v>
      </c>
      <c r="W151" s="196">
        <f>ROUNDUP('7990NTP-NP'!P46*0.07,2)</f>
        <v>0</v>
      </c>
      <c r="X151" s="198"/>
      <c r="Y151" s="233" t="s">
        <v>303</v>
      </c>
      <c r="Z151" s="219" t="s">
        <v>305</v>
      </c>
      <c r="AA151" s="196">
        <f>ROUNDUP('7990NTP-NP'!Q46*0.07,2)</f>
        <v>0</v>
      </c>
      <c r="AB151" s="198"/>
      <c r="AC151" s="199">
        <f>IF(C151+G151+K151+O151+S151+W151+AA151&gt;0,C151+G151+K151+O151+S151+W151+AA151,0)</f>
        <v>0</v>
      </c>
      <c r="AD151" s="153"/>
    </row>
    <row r="152" spans="1:30" ht="13.8" hidden="1" x14ac:dyDescent="0.25">
      <c r="A152" s="194"/>
      <c r="B152" s="195"/>
      <c r="C152" s="196"/>
      <c r="D152" s="216"/>
      <c r="E152" s="202"/>
      <c r="F152" s="197"/>
      <c r="G152" s="196"/>
      <c r="H152" s="216"/>
      <c r="I152" s="202"/>
      <c r="J152" s="195"/>
      <c r="K152" s="196"/>
      <c r="L152" s="216"/>
      <c r="M152" s="202"/>
      <c r="N152" s="195"/>
      <c r="O152" s="196"/>
      <c r="P152" s="216"/>
      <c r="Q152" s="202"/>
      <c r="R152" s="195"/>
      <c r="S152" s="196"/>
      <c r="T152" s="216"/>
      <c r="U152" s="202"/>
      <c r="V152" s="195"/>
      <c r="W152" s="196"/>
      <c r="X152" s="216"/>
      <c r="Y152" s="202"/>
      <c r="Z152" s="195"/>
      <c r="AA152" s="196"/>
      <c r="AB152" s="216"/>
      <c r="AC152" s="199"/>
      <c r="AD152" s="153"/>
    </row>
    <row r="153" spans="1:30" ht="52.8" hidden="1" x14ac:dyDescent="0.25">
      <c r="A153" s="123" t="s">
        <v>207</v>
      </c>
      <c r="B153" s="195" t="s">
        <v>208</v>
      </c>
      <c r="C153" s="196" t="e">
        <f>ROUNDDOWN('7990NTP-NP'!#REF!*0.9,2)</f>
        <v>#REF!</v>
      </c>
      <c r="D153" s="216" t="e">
        <f>'7990NTP-NP'!#REF!</f>
        <v>#REF!</v>
      </c>
      <c r="E153" s="141" t="s">
        <v>207</v>
      </c>
      <c r="F153" s="197" t="s">
        <v>208</v>
      </c>
      <c r="G153" s="196" t="e">
        <f>ROUNDDOWN('7990NTP-NP'!#REF!*0.9,2)</f>
        <v>#REF!</v>
      </c>
      <c r="H153" s="216" t="e">
        <f>'7990NTP-NP'!#REF!</f>
        <v>#REF!</v>
      </c>
      <c r="I153" s="141" t="s">
        <v>207</v>
      </c>
      <c r="J153" s="195" t="s">
        <v>208</v>
      </c>
      <c r="K153" s="196" t="e">
        <f>ROUNDDOWN('7990NTP-NP'!#REF!*0.9,2)</f>
        <v>#REF!</v>
      </c>
      <c r="L153" s="216" t="e">
        <f>'7990NTP-NP'!#REF!</f>
        <v>#REF!</v>
      </c>
      <c r="M153" s="141" t="s">
        <v>306</v>
      </c>
      <c r="N153" s="195" t="s">
        <v>308</v>
      </c>
      <c r="O153" s="196" t="e">
        <f>ROUNDDOWN('7990NTP-NP'!#REF!*0.9,2)</f>
        <v>#REF!</v>
      </c>
      <c r="P153" s="216" t="e">
        <f>'7990NTP-NP'!#REF!</f>
        <v>#REF!</v>
      </c>
      <c r="Q153" s="202" t="s">
        <v>306</v>
      </c>
      <c r="R153" s="195" t="s">
        <v>308</v>
      </c>
      <c r="S153" s="196" t="e">
        <f>ROUNDDOWN('7990NTP-NP'!#REF!*0.9,2)</f>
        <v>#REF!</v>
      </c>
      <c r="T153" s="216" t="e">
        <f>'7990NTP-NP'!#REF!</f>
        <v>#REF!</v>
      </c>
      <c r="U153" s="202" t="s">
        <v>306</v>
      </c>
      <c r="V153" s="195" t="s">
        <v>308</v>
      </c>
      <c r="W153" s="196" t="e">
        <f>ROUNDDOWN('7990NTP-NP'!#REF!*0.9,2)</f>
        <v>#REF!</v>
      </c>
      <c r="X153" s="216" t="e">
        <f>'7990NTP-NP'!#REF!</f>
        <v>#REF!</v>
      </c>
      <c r="Y153" s="202" t="s">
        <v>306</v>
      </c>
      <c r="Z153" s="195" t="s">
        <v>308</v>
      </c>
      <c r="AA153" s="196" t="e">
        <f>ROUNDDOWN('7990NTP-NP'!#REF!*0.9,2)</f>
        <v>#REF!</v>
      </c>
      <c r="AB153" s="216" t="e">
        <f>'7990NTP-NP'!#REF!</f>
        <v>#REF!</v>
      </c>
      <c r="AC153" s="199" t="e">
        <f>IF(C153+G153+K153+O153+S153+W153+AA153&gt;0,C153+G153+K153+O153+S153+W153+AA153,0)</f>
        <v>#REF!</v>
      </c>
      <c r="AD153" s="153"/>
    </row>
    <row r="154" spans="1:30" ht="52.8" hidden="1" x14ac:dyDescent="0.25">
      <c r="A154" s="123" t="s">
        <v>209</v>
      </c>
      <c r="B154" s="195" t="s">
        <v>210</v>
      </c>
      <c r="C154" s="196" t="e">
        <f>ROUNDUP('7990NTP-NP'!#REF!*0.1,2)</f>
        <v>#REF!</v>
      </c>
      <c r="D154" s="198"/>
      <c r="E154" s="141" t="s">
        <v>209</v>
      </c>
      <c r="F154" s="197" t="s">
        <v>210</v>
      </c>
      <c r="G154" s="196" t="e">
        <f>ROUNDUP('7990NTP-NP'!#REF!*0.1,2)</f>
        <v>#REF!</v>
      </c>
      <c r="H154" s="198"/>
      <c r="I154" s="141" t="s">
        <v>209</v>
      </c>
      <c r="J154" s="195" t="s">
        <v>210</v>
      </c>
      <c r="K154" s="196" t="e">
        <f>ROUNDUP('7990NTP-NP'!#REF!*0.1,2)</f>
        <v>#REF!</v>
      </c>
      <c r="L154" s="198"/>
      <c r="M154" s="141" t="s">
        <v>307</v>
      </c>
      <c r="N154" s="195" t="s">
        <v>347</v>
      </c>
      <c r="O154" s="196" t="e">
        <f>ROUNDUP('7990NTP-NP'!#REF!*0.1,2)</f>
        <v>#REF!</v>
      </c>
      <c r="P154" s="198"/>
      <c r="Q154" s="233" t="s">
        <v>307</v>
      </c>
      <c r="R154" s="219" t="s">
        <v>309</v>
      </c>
      <c r="S154" s="196" t="e">
        <f>ROUNDUP('7990NTP-NP'!#REF!*0.1,2)</f>
        <v>#REF!</v>
      </c>
      <c r="T154" s="198"/>
      <c r="U154" s="233" t="s">
        <v>307</v>
      </c>
      <c r="V154" s="219" t="s">
        <v>309</v>
      </c>
      <c r="W154" s="196" t="e">
        <f>ROUNDUP('7990NTP-NP'!#REF!*0.1,2)</f>
        <v>#REF!</v>
      </c>
      <c r="X154" s="198"/>
      <c r="Y154" s="233" t="s">
        <v>307</v>
      </c>
      <c r="Z154" s="219" t="s">
        <v>309</v>
      </c>
      <c r="AA154" s="196" t="e">
        <f>ROUNDUP('7990NTP-NP'!#REF!*0.1,2)</f>
        <v>#REF!</v>
      </c>
      <c r="AB154" s="198"/>
      <c r="AC154" s="199" t="e">
        <f>IF(C154+G154+K154+O154+S154+W154+AA154&gt;0,C154+G154+K154+O154+S154+W154+AA154,0)</f>
        <v>#REF!</v>
      </c>
      <c r="AD154" s="153"/>
    </row>
    <row r="155" spans="1:30" ht="13.8" hidden="1" x14ac:dyDescent="0.25">
      <c r="A155" s="194"/>
      <c r="B155" s="195"/>
      <c r="C155" s="196"/>
      <c r="D155" s="216"/>
      <c r="E155" s="202"/>
      <c r="F155" s="197"/>
      <c r="G155" s="196"/>
      <c r="H155" s="216"/>
      <c r="I155" s="202"/>
      <c r="J155" s="195"/>
      <c r="K155" s="196"/>
      <c r="L155" s="216"/>
      <c r="M155" s="202"/>
      <c r="N155" s="195"/>
      <c r="O155" s="196"/>
      <c r="P155" s="216"/>
      <c r="Q155" s="202"/>
      <c r="R155" s="195"/>
      <c r="S155" s="196"/>
      <c r="T155" s="216"/>
      <c r="U155" s="202"/>
      <c r="V155" s="195"/>
      <c r="W155" s="196"/>
      <c r="X155" s="216"/>
      <c r="Y155" s="202"/>
      <c r="Z155" s="195"/>
      <c r="AA155" s="196"/>
      <c r="AB155" s="216"/>
      <c r="AC155" s="199"/>
      <c r="AD155" s="153"/>
    </row>
    <row r="156" spans="1:30" ht="52.8" hidden="1" x14ac:dyDescent="0.25">
      <c r="A156" s="230" t="s">
        <v>132</v>
      </c>
      <c r="B156" s="195" t="s">
        <v>138</v>
      </c>
      <c r="C156" s="196" t="e">
        <f>ROUNDDOWN('7990NTP-NP'!#REF!*0.5,2)</f>
        <v>#REF!</v>
      </c>
      <c r="D156" s="216" t="e">
        <f>'7990NTP-NP'!#REF!</f>
        <v>#REF!</v>
      </c>
      <c r="E156" s="202" t="s">
        <v>132</v>
      </c>
      <c r="F156" s="197" t="s">
        <v>312</v>
      </c>
      <c r="G156" s="196" t="e">
        <f>ROUNDDOWN('7990NTP-NP'!#REF!*0.5,2)</f>
        <v>#REF!</v>
      </c>
      <c r="H156" s="216" t="e">
        <f>'7990NTP-NP'!#REF!</f>
        <v>#REF!</v>
      </c>
      <c r="I156" s="202" t="s">
        <v>132</v>
      </c>
      <c r="J156" s="195" t="s">
        <v>312</v>
      </c>
      <c r="K156" s="196" t="e">
        <f>ROUNDDOWN('7990NTP-NP'!#REF!*0.5,2)</f>
        <v>#REF!</v>
      </c>
      <c r="L156" s="216" t="e">
        <f>'7990NTP-NP'!#REF!</f>
        <v>#REF!</v>
      </c>
      <c r="M156" s="231" t="s">
        <v>310</v>
      </c>
      <c r="N156" s="195" t="s">
        <v>312</v>
      </c>
      <c r="O156" s="196" t="e">
        <f>ROUNDDOWN('7990NTP-NP'!#REF!*0.5,2)</f>
        <v>#REF!</v>
      </c>
      <c r="P156" s="216" t="e">
        <f>'7990NTP-NP'!#REF!</f>
        <v>#REF!</v>
      </c>
      <c r="Q156" s="231" t="s">
        <v>310</v>
      </c>
      <c r="R156" s="195" t="s">
        <v>312</v>
      </c>
      <c r="S156" s="196" t="e">
        <f>ROUNDDOWN('7990NTP-NP'!#REF!*0.5,2)</f>
        <v>#REF!</v>
      </c>
      <c r="T156" s="216" t="e">
        <f>'7990NTP-NP'!#REF!</f>
        <v>#REF!</v>
      </c>
      <c r="U156" s="231" t="s">
        <v>310</v>
      </c>
      <c r="V156" s="195" t="s">
        <v>312</v>
      </c>
      <c r="W156" s="196" t="e">
        <f>ROUNDDOWN('7990NTP-NP'!#REF!*0.5,2)</f>
        <v>#REF!</v>
      </c>
      <c r="X156" s="216" t="e">
        <f>'7990NTP-NP'!#REF!</f>
        <v>#REF!</v>
      </c>
      <c r="Y156" s="231" t="s">
        <v>310</v>
      </c>
      <c r="Z156" s="195" t="s">
        <v>312</v>
      </c>
      <c r="AA156" s="196" t="e">
        <f>ROUNDDOWN('7990NTP-NP'!#REF!*0.5,2)</f>
        <v>#REF!</v>
      </c>
      <c r="AB156" s="216" t="e">
        <f>'7990NTP-NP'!#REF!</f>
        <v>#REF!</v>
      </c>
      <c r="AC156" s="199" t="e">
        <f>IF(C156+G156+K156+O156+S156+W156+AA156&gt;0,C156+G156+K156+O156+S156+W156+AA156,0)</f>
        <v>#REF!</v>
      </c>
      <c r="AD156" s="153"/>
    </row>
    <row r="157" spans="1:30" ht="52.8" hidden="1" x14ac:dyDescent="0.25">
      <c r="A157" s="230" t="s">
        <v>133</v>
      </c>
      <c r="B157" s="195" t="s">
        <v>139</v>
      </c>
      <c r="C157" s="196" t="e">
        <f>ROUNDUP('7990NTP-NP'!#REF!*0.5,2)</f>
        <v>#REF!</v>
      </c>
      <c r="D157" s="216"/>
      <c r="E157" s="202" t="s">
        <v>133</v>
      </c>
      <c r="F157" s="197" t="s">
        <v>356</v>
      </c>
      <c r="G157" s="196" t="e">
        <f>ROUNDUP('7990NTP-NP'!#REF!*0.5,2)</f>
        <v>#REF!</v>
      </c>
      <c r="H157" s="216"/>
      <c r="I157" s="202" t="s">
        <v>133</v>
      </c>
      <c r="J157" s="195" t="s">
        <v>356</v>
      </c>
      <c r="K157" s="196" t="e">
        <f>ROUNDUP('7990NTP-NP'!#REF!*0.5,2)</f>
        <v>#REF!</v>
      </c>
      <c r="L157" s="216"/>
      <c r="M157" s="231" t="s">
        <v>311</v>
      </c>
      <c r="N157" s="195" t="s">
        <v>313</v>
      </c>
      <c r="O157" s="196" t="e">
        <f>ROUNDUP('7990NTP-NP'!#REF!*0.5,2)</f>
        <v>#REF!</v>
      </c>
      <c r="P157" s="216"/>
      <c r="Q157" s="231" t="s">
        <v>311</v>
      </c>
      <c r="R157" s="195" t="s">
        <v>313</v>
      </c>
      <c r="S157" s="196" t="e">
        <f>ROUNDUP('7990NTP-NP'!#REF!*0.5,2)</f>
        <v>#REF!</v>
      </c>
      <c r="T157" s="216"/>
      <c r="U157" s="231" t="s">
        <v>311</v>
      </c>
      <c r="V157" s="195" t="s">
        <v>313</v>
      </c>
      <c r="W157" s="196" t="e">
        <f>ROUNDUP('7990NTP-NP'!#REF!*0.5,2)</f>
        <v>#REF!</v>
      </c>
      <c r="X157" s="216"/>
      <c r="Y157" s="231" t="s">
        <v>311</v>
      </c>
      <c r="Z157" s="195" t="s">
        <v>313</v>
      </c>
      <c r="AA157" s="196" t="e">
        <f>ROUNDUP('7990NTP-NP'!#REF!*0.5,2)</f>
        <v>#REF!</v>
      </c>
      <c r="AB157" s="216"/>
      <c r="AC157" s="199" t="e">
        <f>IF(C157+G157+K157+O157+S157+W157+AA157&gt;0,C157+G157+K157+O157+S157+W157+AA157,0)</f>
        <v>#REF!</v>
      </c>
      <c r="AD157" s="153"/>
    </row>
    <row r="158" spans="1:30" ht="13.8" hidden="1" x14ac:dyDescent="0.25">
      <c r="A158" s="226"/>
      <c r="B158" s="195"/>
      <c r="C158" s="196"/>
      <c r="D158" s="216"/>
      <c r="E158" s="202"/>
      <c r="F158" s="197"/>
      <c r="G158" s="196"/>
      <c r="H158" s="216"/>
      <c r="I158" s="202"/>
      <c r="J158" s="195"/>
      <c r="K158" s="196"/>
      <c r="L158" s="216"/>
      <c r="M158" s="202"/>
      <c r="N158" s="195"/>
      <c r="O158" s="196"/>
      <c r="P158" s="216"/>
      <c r="Q158" s="202"/>
      <c r="R158" s="195"/>
      <c r="S158" s="196"/>
      <c r="T158" s="216"/>
      <c r="U158" s="202"/>
      <c r="V158" s="195"/>
      <c r="W158" s="196"/>
      <c r="X158" s="216"/>
      <c r="Y158" s="202"/>
      <c r="Z158" s="195"/>
      <c r="AA158" s="196"/>
      <c r="AB158" s="216"/>
      <c r="AC158" s="199"/>
      <c r="AD158" s="153"/>
    </row>
    <row r="159" spans="1:30" ht="66" hidden="1" x14ac:dyDescent="0.25">
      <c r="A159" s="230" t="s">
        <v>211</v>
      </c>
      <c r="B159" s="195" t="s">
        <v>212</v>
      </c>
      <c r="C159" s="196">
        <f>ROUNDDOWN('7990NTP-NP'!$K$47-('7990NTP-NP'!$K$47*0.438),2)</f>
        <v>0</v>
      </c>
      <c r="D159" s="216">
        <f>'7990NTP-NP'!$C$47</f>
        <v>0</v>
      </c>
      <c r="E159" s="231" t="s">
        <v>211</v>
      </c>
      <c r="F159" s="197" t="s">
        <v>212</v>
      </c>
      <c r="G159" s="196">
        <f>ROUNDDOWN('7990NTP-NP'!$L$47-('7990NTP-NP'!$L$47*0.438),2)</f>
        <v>0</v>
      </c>
      <c r="H159" s="216">
        <f>'7990NTP-NP'!$D$47</f>
        <v>0</v>
      </c>
      <c r="I159" s="231" t="s">
        <v>211</v>
      </c>
      <c r="J159" s="195" t="s">
        <v>212</v>
      </c>
      <c r="K159" s="196">
        <f>ROUNDDOWN('7990NTP-NP'!M47-('7990NTP-NP'!M47*0.438),2)</f>
        <v>0</v>
      </c>
      <c r="L159" s="216">
        <f>'7990NTP-NP'!E47</f>
        <v>0</v>
      </c>
      <c r="M159" s="202" t="s">
        <v>314</v>
      </c>
      <c r="N159" s="195" t="s">
        <v>212</v>
      </c>
      <c r="O159" s="196">
        <f>ROUNDDOWN('7990NTP-NP'!N47-('7990NTP-NP'!N47*0.438),2)</f>
        <v>0</v>
      </c>
      <c r="P159" s="216">
        <f>'7990NTP-NP'!F47</f>
        <v>0</v>
      </c>
      <c r="Q159" s="202" t="s">
        <v>314</v>
      </c>
      <c r="R159" s="195" t="s">
        <v>212</v>
      </c>
      <c r="S159" s="196">
        <f>ROUNDDOWN('7990NTP-NP'!O47-('7990NTP-NP'!O47*0.438),2)</f>
        <v>0</v>
      </c>
      <c r="T159" s="216">
        <f>'7990NTP-NP'!G47</f>
        <v>0</v>
      </c>
      <c r="U159" s="202" t="s">
        <v>314</v>
      </c>
      <c r="V159" s="195" t="s">
        <v>212</v>
      </c>
      <c r="W159" s="196">
        <f>ROUNDDOWN('7990NTP-NP'!P47-('7990NTP-NP'!P47*0.438),2)</f>
        <v>0</v>
      </c>
      <c r="X159" s="216">
        <f>'7990NTP-NP'!H47</f>
        <v>0</v>
      </c>
      <c r="Y159" s="202" t="s">
        <v>314</v>
      </c>
      <c r="Z159" s="195" t="s">
        <v>212</v>
      </c>
      <c r="AA159" s="196">
        <f>ROUNDDOWN('7990NTP-NP'!Q47-('7990NTP-NP'!Q47*0.438),2)</f>
        <v>0</v>
      </c>
      <c r="AB159" s="216">
        <f>'7990NTP-NP'!I47</f>
        <v>0</v>
      </c>
      <c r="AC159" s="199">
        <f>IF(C159+G159+K159+O159+S159+W159+AA159&gt;0,C159+G159+K159+O159+S159+W159+AA159,0)</f>
        <v>0</v>
      </c>
      <c r="AD159" s="153"/>
    </row>
    <row r="160" spans="1:30" ht="66" hidden="1" x14ac:dyDescent="0.25">
      <c r="A160" s="230" t="s">
        <v>213</v>
      </c>
      <c r="B160" s="195" t="s">
        <v>214</v>
      </c>
      <c r="C160" s="196">
        <f>ROUNDUP('7990NTP-NP'!$K$47*0.438,2)</f>
        <v>0</v>
      </c>
      <c r="D160" s="216"/>
      <c r="E160" s="231" t="s">
        <v>213</v>
      </c>
      <c r="F160" s="197" t="s">
        <v>214</v>
      </c>
      <c r="G160" s="196">
        <f>ROUNDUP('7990NTP-NP'!$L$47*0.438,2)</f>
        <v>0</v>
      </c>
      <c r="H160" s="216"/>
      <c r="I160" s="231" t="s">
        <v>213</v>
      </c>
      <c r="J160" s="195" t="s">
        <v>214</v>
      </c>
      <c r="K160" s="196">
        <f>ROUNDUP('7990NTP-NP'!M47*0.438,2)</f>
        <v>0</v>
      </c>
      <c r="L160" s="216"/>
      <c r="M160" s="202" t="s">
        <v>315</v>
      </c>
      <c r="N160" s="195" t="s">
        <v>316</v>
      </c>
      <c r="O160" s="196">
        <f>ROUNDUP('7990NTP-NP'!N47*0.438,2)</f>
        <v>0</v>
      </c>
      <c r="P160" s="216"/>
      <c r="Q160" s="202" t="s">
        <v>315</v>
      </c>
      <c r="R160" s="195" t="s">
        <v>316</v>
      </c>
      <c r="S160" s="196">
        <f>ROUNDUP('7990NTP-NP'!O47*0.438,2)</f>
        <v>0</v>
      </c>
      <c r="T160" s="216"/>
      <c r="U160" s="202" t="s">
        <v>315</v>
      </c>
      <c r="V160" s="195" t="s">
        <v>316</v>
      </c>
      <c r="W160" s="196">
        <f>ROUNDUP('7990NTP-NP'!P47*0.438,2)</f>
        <v>0</v>
      </c>
      <c r="X160" s="216"/>
      <c r="Y160" s="202" t="s">
        <v>315</v>
      </c>
      <c r="Z160" s="195" t="s">
        <v>316</v>
      </c>
      <c r="AA160" s="196">
        <f>ROUNDUP('7990NTP-NP'!Q47*0.438,2)</f>
        <v>0</v>
      </c>
      <c r="AB160" s="216"/>
      <c r="AC160" s="199">
        <f>IF(C160+G160+K160+O160+S160+W160+AA160&gt;0,C160+G160+K160+O160+S160+W160+AA160,0)</f>
        <v>0</v>
      </c>
      <c r="AD160" s="153"/>
    </row>
    <row r="161" spans="1:30" ht="13.8" hidden="1" x14ac:dyDescent="0.25">
      <c r="A161" s="226"/>
      <c r="B161" s="195"/>
      <c r="C161" s="196"/>
      <c r="D161" s="216"/>
      <c r="E161" s="202"/>
      <c r="F161" s="197"/>
      <c r="G161" s="196"/>
      <c r="H161" s="216"/>
      <c r="I161" s="202"/>
      <c r="J161" s="195"/>
      <c r="K161" s="196"/>
      <c r="L161" s="216"/>
      <c r="M161" s="202"/>
      <c r="N161" s="195"/>
      <c r="O161" s="196"/>
      <c r="P161" s="216"/>
      <c r="Q161" s="202"/>
      <c r="R161" s="195"/>
      <c r="S161" s="196"/>
      <c r="T161" s="216"/>
      <c r="U161" s="202"/>
      <c r="V161" s="195"/>
      <c r="W161" s="196"/>
      <c r="X161" s="216"/>
      <c r="Y161" s="202"/>
      <c r="Z161" s="195"/>
      <c r="AA161" s="196"/>
      <c r="AB161" s="216"/>
      <c r="AC161" s="199"/>
      <c r="AD161" s="153"/>
    </row>
    <row r="162" spans="1:30" ht="66" hidden="1" x14ac:dyDescent="0.25">
      <c r="A162" s="123" t="s">
        <v>215</v>
      </c>
      <c r="B162" s="195" t="s">
        <v>216</v>
      </c>
      <c r="C162" s="196">
        <f>ROUNDDOWN('7990NTP-NP'!$K$48-('7990NTP-NP'!$K$48*0.3066),2)</f>
        <v>0</v>
      </c>
      <c r="D162" s="216">
        <f>'7990NTP-NP'!$C$48</f>
        <v>0</v>
      </c>
      <c r="E162" s="141" t="s">
        <v>215</v>
      </c>
      <c r="F162" s="197" t="s">
        <v>216</v>
      </c>
      <c r="G162" s="196">
        <f>ROUNDDOWN('7990NTP-NP'!$L$48-('7990NTP-NP'!$L$48*0.3066),2)</f>
        <v>0</v>
      </c>
      <c r="H162" s="216">
        <f>'7990NTP-NP'!$D$48</f>
        <v>0</v>
      </c>
      <c r="I162" s="141" t="s">
        <v>215</v>
      </c>
      <c r="J162" s="195" t="s">
        <v>216</v>
      </c>
      <c r="K162" s="196">
        <f>ROUNDDOWN('7990NTP-NP'!M48-('7990NTP-NP'!M48*0.3066),2)</f>
        <v>0</v>
      </c>
      <c r="L162" s="216">
        <f>'7990NTP-NP'!E48</f>
        <v>0</v>
      </c>
      <c r="M162" s="202" t="s">
        <v>317</v>
      </c>
      <c r="N162" s="195" t="s">
        <v>216</v>
      </c>
      <c r="O162" s="196">
        <f>ROUNDDOWN('7990NTP-NP'!N48-('7990NTP-NP'!N48*0.3066),2)</f>
        <v>0</v>
      </c>
      <c r="P162" s="216">
        <f>'7990NTP-NP'!F48</f>
        <v>0</v>
      </c>
      <c r="Q162" s="202" t="s">
        <v>317</v>
      </c>
      <c r="R162" s="195" t="s">
        <v>216</v>
      </c>
      <c r="S162" s="196">
        <f>ROUNDDOWN('7990NTP-NP'!O48-('7990NTP-NP'!O48*0.3066),2)</f>
        <v>0</v>
      </c>
      <c r="T162" s="216">
        <f>'7990NTP-NP'!G48</f>
        <v>0</v>
      </c>
      <c r="U162" s="202" t="s">
        <v>317</v>
      </c>
      <c r="V162" s="195" t="s">
        <v>216</v>
      </c>
      <c r="W162" s="196">
        <f>ROUNDDOWN('7990NTP-NP'!P48-('7990NTP-NP'!P48*0.3066),2)</f>
        <v>0</v>
      </c>
      <c r="X162" s="216">
        <f>'7990NTP-NP'!H48</f>
        <v>0</v>
      </c>
      <c r="Y162" s="202" t="s">
        <v>317</v>
      </c>
      <c r="Z162" s="195" t="s">
        <v>216</v>
      </c>
      <c r="AA162" s="196">
        <f>ROUNDDOWN('7990NTP-NP'!Q48-('7990NTP-NP'!Q48*0.3066),2)</f>
        <v>0</v>
      </c>
      <c r="AB162" s="216">
        <f>'7990NTP-NP'!I48</f>
        <v>0</v>
      </c>
      <c r="AC162" s="199">
        <f>IF(C162+G162+K162+O162+S162+W162+AA162&gt;0,C162+G162+K162+O162+S162+W162+AA162,0)</f>
        <v>0</v>
      </c>
      <c r="AD162" s="153"/>
    </row>
    <row r="163" spans="1:30" ht="66" hidden="1" x14ac:dyDescent="0.25">
      <c r="A163" s="123" t="s">
        <v>217</v>
      </c>
      <c r="B163" s="195" t="s">
        <v>218</v>
      </c>
      <c r="C163" s="196">
        <f>ROUNDUP('7990NTP-NP'!$K$48*0.3066,2)</f>
        <v>0</v>
      </c>
      <c r="D163" s="216"/>
      <c r="E163" s="141" t="s">
        <v>217</v>
      </c>
      <c r="F163" s="197" t="s">
        <v>218</v>
      </c>
      <c r="G163" s="196">
        <f>ROUNDUP('7990NTP-NP'!$L$48*0.3066,2)</f>
        <v>0</v>
      </c>
      <c r="H163" s="216"/>
      <c r="I163" s="141" t="s">
        <v>217</v>
      </c>
      <c r="J163" s="195" t="s">
        <v>218</v>
      </c>
      <c r="K163" s="196">
        <f>ROUNDUP('7990NTP-NP'!M48*0.3066,2)</f>
        <v>0</v>
      </c>
      <c r="L163" s="216"/>
      <c r="M163" s="202" t="s">
        <v>318</v>
      </c>
      <c r="N163" s="195" t="s">
        <v>319</v>
      </c>
      <c r="O163" s="196">
        <f>ROUNDUP('7990NTP-NP'!N48*0.3066,2)</f>
        <v>0</v>
      </c>
      <c r="P163" s="216"/>
      <c r="Q163" s="202" t="s">
        <v>318</v>
      </c>
      <c r="R163" s="195" t="s">
        <v>319</v>
      </c>
      <c r="S163" s="196">
        <f>ROUNDUP('7990NTP-NP'!O48*0.3066,2)</f>
        <v>0</v>
      </c>
      <c r="T163" s="216"/>
      <c r="U163" s="202" t="s">
        <v>318</v>
      </c>
      <c r="V163" s="195" t="s">
        <v>319</v>
      </c>
      <c r="W163" s="196">
        <f>ROUNDUP('7990NTP-NP'!P48*0.3066,2)</f>
        <v>0</v>
      </c>
      <c r="X163" s="216"/>
      <c r="Y163" s="202" t="s">
        <v>318</v>
      </c>
      <c r="Z163" s="195" t="s">
        <v>319</v>
      </c>
      <c r="AA163" s="196">
        <f>ROUNDUP('7990NTP-NP'!Q48*0.3066,2)</f>
        <v>0</v>
      </c>
      <c r="AB163" s="216"/>
      <c r="AC163" s="199">
        <f>IF(C163+G163+K163+O163+S163+W163+AA163&gt;0,C163+G163+K163+O163+S163+W163+AA163,0)</f>
        <v>0</v>
      </c>
      <c r="AD163" s="153"/>
    </row>
    <row r="164" spans="1:30" ht="13.8" hidden="1" x14ac:dyDescent="0.25">
      <c r="A164" s="226"/>
      <c r="B164" s="195"/>
      <c r="C164" s="196"/>
      <c r="D164" s="216"/>
      <c r="E164" s="202"/>
      <c r="F164" s="197"/>
      <c r="G164" s="196"/>
      <c r="H164" s="216"/>
      <c r="I164" s="202"/>
      <c r="J164" s="195"/>
      <c r="K164" s="196"/>
      <c r="L164" s="216"/>
      <c r="M164" s="202"/>
      <c r="N164" s="195"/>
      <c r="O164" s="196"/>
      <c r="P164" s="216"/>
      <c r="Q164" s="202"/>
      <c r="R164" s="195"/>
      <c r="S164" s="196"/>
      <c r="T164" s="216"/>
      <c r="U164" s="202"/>
      <c r="V164" s="195"/>
      <c r="W164" s="196"/>
      <c r="X164" s="216"/>
      <c r="Y164" s="202"/>
      <c r="Z164" s="195"/>
      <c r="AA164" s="196"/>
      <c r="AB164" s="216"/>
      <c r="AC164" s="199"/>
      <c r="AD164" s="153"/>
    </row>
    <row r="165" spans="1:30" ht="52.8" hidden="1" x14ac:dyDescent="0.25">
      <c r="A165" s="123" t="s">
        <v>130</v>
      </c>
      <c r="B165" s="195" t="s">
        <v>120</v>
      </c>
      <c r="C165" s="196">
        <f>ROUNDDOWN('7990NTP-NP'!$K$49*0.93,2)</f>
        <v>0</v>
      </c>
      <c r="D165" s="216">
        <f>'7990NTP-NP'!$C$49</f>
        <v>0</v>
      </c>
      <c r="E165" s="202" t="s">
        <v>130</v>
      </c>
      <c r="F165" s="197" t="s">
        <v>322</v>
      </c>
      <c r="G165" s="196">
        <f>ROUNDDOWN('7990NTP-NP'!$L$49*0.93,2)</f>
        <v>0</v>
      </c>
      <c r="H165" s="216">
        <f>'7990NTP-NP'!$D$49</f>
        <v>0</v>
      </c>
      <c r="I165" s="202" t="s">
        <v>130</v>
      </c>
      <c r="J165" s="195" t="s">
        <v>322</v>
      </c>
      <c r="K165" s="196">
        <f>ROUNDDOWN('7990NTP-NP'!M49*0.93,2)</f>
        <v>0</v>
      </c>
      <c r="L165" s="216">
        <f>'7990NTP-NP'!E49</f>
        <v>0</v>
      </c>
      <c r="M165" s="141" t="s">
        <v>320</v>
      </c>
      <c r="N165" s="195" t="s">
        <v>322</v>
      </c>
      <c r="O165" s="196">
        <f>ROUNDDOWN('7990NTP-NP'!N49*0.93,2)</f>
        <v>0</v>
      </c>
      <c r="P165" s="216">
        <f>'7990NTP-NP'!F49</f>
        <v>0</v>
      </c>
      <c r="Q165" s="141" t="s">
        <v>320</v>
      </c>
      <c r="R165" s="195" t="s">
        <v>322</v>
      </c>
      <c r="S165" s="196">
        <f>ROUNDDOWN('7990NTP-NP'!O49*0.93,2)</f>
        <v>0</v>
      </c>
      <c r="T165" s="216">
        <f>'7990NTP-NP'!G49</f>
        <v>0</v>
      </c>
      <c r="U165" s="141" t="s">
        <v>320</v>
      </c>
      <c r="V165" s="195" t="s">
        <v>322</v>
      </c>
      <c r="W165" s="196">
        <f>ROUNDDOWN('7990NTP-NP'!P49*0.93,2)</f>
        <v>0</v>
      </c>
      <c r="X165" s="216">
        <f>'7990NTP-NP'!H49</f>
        <v>0</v>
      </c>
      <c r="Y165" s="141" t="s">
        <v>320</v>
      </c>
      <c r="Z165" s="195" t="s">
        <v>322</v>
      </c>
      <c r="AA165" s="196">
        <f>ROUNDDOWN('7990NTP-NP'!Q49*0.93,2)</f>
        <v>0</v>
      </c>
      <c r="AB165" s="216">
        <f>'7990NTP-NP'!I49</f>
        <v>0</v>
      </c>
      <c r="AC165" s="199">
        <f>IF(C165+G165+K165+O165+S165+W165+AA165&gt;0,C165+G165+K165+O165+S165+W165+AA165,0)</f>
        <v>0</v>
      </c>
      <c r="AD165" s="153"/>
    </row>
    <row r="166" spans="1:30" ht="52.8" hidden="1" x14ac:dyDescent="0.25">
      <c r="A166" s="232" t="s">
        <v>131</v>
      </c>
      <c r="B166" s="195" t="s">
        <v>123</v>
      </c>
      <c r="C166" s="196">
        <f>ROUNDUP('7990NTP-NP'!$K$49*0.07,2)</f>
        <v>0</v>
      </c>
      <c r="D166" s="198"/>
      <c r="E166" s="233" t="s">
        <v>131</v>
      </c>
      <c r="F166" s="197" t="s">
        <v>355</v>
      </c>
      <c r="G166" s="196">
        <f>ROUNDUP('7990NTP-NP'!$L$49*0.07,2)</f>
        <v>0</v>
      </c>
      <c r="H166" s="198"/>
      <c r="I166" s="233" t="s">
        <v>131</v>
      </c>
      <c r="J166" s="219" t="s">
        <v>355</v>
      </c>
      <c r="K166" s="196">
        <f>ROUNDUP('7990NTP-NP'!M49*0.07,2)</f>
        <v>0</v>
      </c>
      <c r="L166" s="198"/>
      <c r="M166" s="194" t="s">
        <v>321</v>
      </c>
      <c r="N166" s="195" t="s">
        <v>323</v>
      </c>
      <c r="O166" s="196">
        <f>ROUNDUP('7990NTP-NP'!N49*0.07,2)</f>
        <v>0</v>
      </c>
      <c r="P166" s="198"/>
      <c r="Q166" s="194" t="s">
        <v>321</v>
      </c>
      <c r="R166" s="195" t="s">
        <v>323</v>
      </c>
      <c r="S166" s="196">
        <f>ROUNDUP('7990NTP-NP'!O49*0.07,2)</f>
        <v>0</v>
      </c>
      <c r="T166" s="198"/>
      <c r="U166" s="194" t="s">
        <v>321</v>
      </c>
      <c r="V166" s="195" t="s">
        <v>323</v>
      </c>
      <c r="W166" s="196">
        <f>ROUNDUP('7990NTP-NP'!P49*0.07,2)</f>
        <v>0</v>
      </c>
      <c r="X166" s="198"/>
      <c r="Y166" s="194" t="s">
        <v>321</v>
      </c>
      <c r="Z166" s="195" t="s">
        <v>323</v>
      </c>
      <c r="AA166" s="196">
        <f>ROUNDUP('7990NTP-NP'!Q49*0.07,2)</f>
        <v>0</v>
      </c>
      <c r="AB166" s="198"/>
      <c r="AC166" s="199">
        <f>IF(C166+G166+K166+O166+S166+W166+AA166&gt;0,C166+G166+K166+O166+S166+W166+AA166,0)</f>
        <v>0</v>
      </c>
      <c r="AD166" s="153"/>
    </row>
    <row r="167" spans="1:30" ht="13.8" hidden="1" x14ac:dyDescent="0.25">
      <c r="A167" s="194"/>
      <c r="B167" s="113"/>
      <c r="C167" s="235"/>
      <c r="D167" s="236"/>
      <c r="E167" s="141"/>
      <c r="F167" s="237"/>
      <c r="G167" s="238"/>
      <c r="H167" s="236"/>
      <c r="I167" s="141"/>
      <c r="J167" s="113"/>
      <c r="K167" s="238"/>
      <c r="L167" s="236"/>
      <c r="M167" s="141"/>
      <c r="N167" s="113"/>
      <c r="O167" s="238"/>
      <c r="P167" s="236"/>
      <c r="Q167" s="141"/>
      <c r="R167" s="113"/>
      <c r="S167" s="238"/>
      <c r="T167" s="236"/>
      <c r="U167" s="141"/>
      <c r="V167" s="113"/>
      <c r="W167" s="238"/>
      <c r="X167" s="236"/>
      <c r="Y167" s="141"/>
      <c r="Z167" s="113"/>
      <c r="AA167" s="238"/>
      <c r="AB167" s="236"/>
      <c r="AC167" s="199"/>
      <c r="AD167" s="153"/>
    </row>
    <row r="168" spans="1:30" ht="52.8" hidden="1" x14ac:dyDescent="0.25">
      <c r="A168" s="123" t="s">
        <v>219</v>
      </c>
      <c r="B168" s="195" t="s">
        <v>220</v>
      </c>
      <c r="C168" s="196" t="e">
        <f>ROUNDDOWN('7990NTP-NP'!#REF!*0.9,2)</f>
        <v>#REF!</v>
      </c>
      <c r="D168" s="216" t="e">
        <f>'7990NTP-NP'!#REF!</f>
        <v>#REF!</v>
      </c>
      <c r="E168" s="141" t="s">
        <v>219</v>
      </c>
      <c r="F168" s="197" t="s">
        <v>220</v>
      </c>
      <c r="G168" s="196" t="e">
        <f>ROUNDDOWN('7990NTP-NP'!#REF!*0.9,2)</f>
        <v>#REF!</v>
      </c>
      <c r="H168" s="216" t="e">
        <f>'7990NTP-NP'!#REF!</f>
        <v>#REF!</v>
      </c>
      <c r="I168" s="141" t="s">
        <v>219</v>
      </c>
      <c r="J168" s="195" t="s">
        <v>220</v>
      </c>
      <c r="K168" s="196" t="e">
        <f>ROUNDDOWN('7990NTP-NP'!#REF!*0.9,2)</f>
        <v>#REF!</v>
      </c>
      <c r="L168" s="216" t="e">
        <f>'7990NTP-NP'!#REF!</f>
        <v>#REF!</v>
      </c>
      <c r="M168" s="202" t="s">
        <v>324</v>
      </c>
      <c r="N168" s="195" t="s">
        <v>326</v>
      </c>
      <c r="O168" s="196" t="e">
        <f>ROUNDDOWN('7990NTP-NP'!#REF!*0.9,2)</f>
        <v>#REF!</v>
      </c>
      <c r="P168" s="216" t="e">
        <f>'7990NTP-NP'!#REF!</f>
        <v>#REF!</v>
      </c>
      <c r="Q168" s="202" t="s">
        <v>324</v>
      </c>
      <c r="R168" s="195" t="s">
        <v>326</v>
      </c>
      <c r="S168" s="196" t="e">
        <f>ROUNDDOWN('7990NTP-NP'!#REF!*0.9,2)</f>
        <v>#REF!</v>
      </c>
      <c r="T168" s="216" t="e">
        <f>'7990NTP-NP'!#REF!</f>
        <v>#REF!</v>
      </c>
      <c r="U168" s="202" t="s">
        <v>324</v>
      </c>
      <c r="V168" s="195" t="s">
        <v>326</v>
      </c>
      <c r="W168" s="196" t="e">
        <f>ROUNDDOWN('7990NTP-NP'!#REF!*0.9,2)</f>
        <v>#REF!</v>
      </c>
      <c r="X168" s="216" t="e">
        <f>'7990NTP-NP'!#REF!</f>
        <v>#REF!</v>
      </c>
      <c r="Y168" s="202" t="s">
        <v>324</v>
      </c>
      <c r="Z168" s="195" t="s">
        <v>326</v>
      </c>
      <c r="AA168" s="196" t="e">
        <f>ROUNDDOWN('7990NTP-NP'!#REF!*0.9,2)</f>
        <v>#REF!</v>
      </c>
      <c r="AB168" s="216" t="e">
        <f>'7990NTP-NP'!#REF!</f>
        <v>#REF!</v>
      </c>
      <c r="AC168" s="199" t="e">
        <f>IF(C168+G168+K168+O168+S168+W168+AA168&gt;0,C168+G168+K168+O168+S168+W168+AA168,0)</f>
        <v>#REF!</v>
      </c>
      <c r="AD168" s="153"/>
    </row>
    <row r="169" spans="1:30" ht="52.8" hidden="1" x14ac:dyDescent="0.25">
      <c r="A169" s="123" t="s">
        <v>221</v>
      </c>
      <c r="B169" s="195" t="s">
        <v>222</v>
      </c>
      <c r="C169" s="196" t="e">
        <f>ROUNDUP('7990NTP-NP'!#REF!*0.1,2)</f>
        <v>#REF!</v>
      </c>
      <c r="D169" s="198"/>
      <c r="E169" s="141" t="s">
        <v>221</v>
      </c>
      <c r="F169" s="197" t="s">
        <v>222</v>
      </c>
      <c r="G169" s="196" t="e">
        <f>ROUNDUP('7990NTP-NP'!#REF!*0.1,2)</f>
        <v>#REF!</v>
      </c>
      <c r="H169" s="198"/>
      <c r="I169" s="141" t="s">
        <v>221</v>
      </c>
      <c r="J169" s="195" t="s">
        <v>222</v>
      </c>
      <c r="K169" s="196" t="e">
        <f>ROUNDUP('7990NTP-NP'!#REF!*0.1,2)</f>
        <v>#REF!</v>
      </c>
      <c r="L169" s="198"/>
      <c r="M169" s="233" t="s">
        <v>325</v>
      </c>
      <c r="N169" s="219" t="s">
        <v>327</v>
      </c>
      <c r="O169" s="196" t="e">
        <f>ROUNDUP('7990NTP-NP'!#REF!*0.1,2)</f>
        <v>#REF!</v>
      </c>
      <c r="P169" s="198"/>
      <c r="Q169" s="233" t="s">
        <v>325</v>
      </c>
      <c r="R169" s="219" t="s">
        <v>327</v>
      </c>
      <c r="S169" s="196" t="e">
        <f>ROUNDUP('7990NTP-NP'!#REF!*0.1,2)</f>
        <v>#REF!</v>
      </c>
      <c r="T169" s="198"/>
      <c r="U169" s="233" t="s">
        <v>325</v>
      </c>
      <c r="V169" s="219" t="s">
        <v>327</v>
      </c>
      <c r="W169" s="196" t="e">
        <f>ROUNDUP('7990NTP-NP'!#REF!*0.1,2)</f>
        <v>#REF!</v>
      </c>
      <c r="X169" s="198"/>
      <c r="Y169" s="233" t="s">
        <v>325</v>
      </c>
      <c r="Z169" s="219" t="s">
        <v>327</v>
      </c>
      <c r="AA169" s="196" t="e">
        <f>ROUNDUP('7990NTP-NP'!#REF!*0.1,2)</f>
        <v>#REF!</v>
      </c>
      <c r="AB169" s="198"/>
      <c r="AC169" s="199" t="e">
        <f>IF(C169+G169+K169+O169+S169+W169+AA169&gt;0,C169+G169+K169+O169+S169+W169+AA169,0)</f>
        <v>#REF!</v>
      </c>
      <c r="AD169" s="153"/>
    </row>
    <row r="170" spans="1:30" ht="13.8" hidden="1" x14ac:dyDescent="0.25">
      <c r="A170" s="239"/>
      <c r="B170" s="195"/>
      <c r="C170" s="196"/>
      <c r="D170" s="198"/>
      <c r="E170" s="233"/>
      <c r="F170" s="197"/>
      <c r="G170" s="196"/>
      <c r="H170" s="198"/>
      <c r="I170" s="233"/>
      <c r="J170" s="219"/>
      <c r="K170" s="196"/>
      <c r="L170" s="198"/>
      <c r="M170" s="233"/>
      <c r="N170" s="219"/>
      <c r="O170" s="196"/>
      <c r="P170" s="198"/>
      <c r="Q170" s="233"/>
      <c r="R170" s="219"/>
      <c r="S170" s="196"/>
      <c r="T170" s="198"/>
      <c r="U170" s="233"/>
      <c r="V170" s="219"/>
      <c r="W170" s="196"/>
      <c r="X170" s="198"/>
      <c r="Y170" s="233"/>
      <c r="Z170" s="219"/>
      <c r="AA170" s="196"/>
      <c r="AB170" s="198"/>
      <c r="AC170" s="199"/>
      <c r="AD170" s="153"/>
    </row>
    <row r="171" spans="1:30" ht="52.8" hidden="1" x14ac:dyDescent="0.25">
      <c r="A171" s="123" t="s">
        <v>223</v>
      </c>
      <c r="B171" s="195" t="s">
        <v>224</v>
      </c>
      <c r="C171" s="196" t="e">
        <f>ROUNDDOWN('7990NTP-NP'!#REF!*0.88,2)</f>
        <v>#REF!</v>
      </c>
      <c r="D171" s="216" t="e">
        <f>'7990NTP-NP'!#REF!</f>
        <v>#REF!</v>
      </c>
      <c r="E171" s="141" t="s">
        <v>223</v>
      </c>
      <c r="F171" s="197" t="s">
        <v>224</v>
      </c>
      <c r="G171" s="196" t="e">
        <f>ROUNDDOWN('7990NTP-NP'!#REF!*0.88,2)</f>
        <v>#REF!</v>
      </c>
      <c r="H171" s="216" t="e">
        <f>'7990NTP-NP'!#REF!</f>
        <v>#REF!</v>
      </c>
      <c r="I171" s="141" t="s">
        <v>223</v>
      </c>
      <c r="J171" s="195" t="s">
        <v>224</v>
      </c>
      <c r="K171" s="196" t="e">
        <f>ROUNDDOWN('7990NTP-NP'!#REF!*0.88,2)</f>
        <v>#REF!</v>
      </c>
      <c r="L171" s="216" t="e">
        <f>'7990NTP-NP'!#REF!</f>
        <v>#REF!</v>
      </c>
      <c r="M171" s="141" t="s">
        <v>223</v>
      </c>
      <c r="N171" s="195" t="s">
        <v>224</v>
      </c>
      <c r="O171" s="196" t="e">
        <f>ROUNDDOWN('7990NTP-NP'!#REF!*0.88,2)</f>
        <v>#REF!</v>
      </c>
      <c r="P171" s="216" t="e">
        <f>'7990NTP-NP'!#REF!</f>
        <v>#REF!</v>
      </c>
      <c r="Q171" s="141" t="s">
        <v>223</v>
      </c>
      <c r="R171" s="195" t="s">
        <v>224</v>
      </c>
      <c r="S171" s="196" t="e">
        <f>ROUNDDOWN('7990NTP-NP'!#REF!*0.88,2)</f>
        <v>#REF!</v>
      </c>
      <c r="T171" s="216" t="e">
        <f>'7990NTP-NP'!#REF!</f>
        <v>#REF!</v>
      </c>
      <c r="U171" s="141" t="s">
        <v>223</v>
      </c>
      <c r="V171" s="195" t="s">
        <v>224</v>
      </c>
      <c r="W171" s="196" t="e">
        <f>ROUNDDOWN('7990NTP-NP'!#REF!*0.88,2)</f>
        <v>#REF!</v>
      </c>
      <c r="X171" s="216" t="e">
        <f>'7990NTP-NP'!#REF!</f>
        <v>#REF!</v>
      </c>
      <c r="Y171" s="141" t="s">
        <v>223</v>
      </c>
      <c r="Z171" s="195" t="s">
        <v>224</v>
      </c>
      <c r="AA171" s="196" t="e">
        <f>ROUNDDOWN('7990NTP-NP'!#REF!*0.88,2)</f>
        <v>#REF!</v>
      </c>
      <c r="AB171" s="216" t="e">
        <f>'7990NTP-NP'!#REF!</f>
        <v>#REF!</v>
      </c>
      <c r="AC171" s="199" t="e">
        <f>IF(C171+G171+K171+O171+S171+W171+AA171&gt;0,C171+G171+K171+O171+S171+W171+AA171,0)</f>
        <v>#REF!</v>
      </c>
      <c r="AD171" s="153"/>
    </row>
    <row r="172" spans="1:30" ht="52.8" hidden="1" x14ac:dyDescent="0.25">
      <c r="A172" s="123" t="s">
        <v>225</v>
      </c>
      <c r="B172" s="195" t="s">
        <v>226</v>
      </c>
      <c r="C172" s="196" t="e">
        <f>ROUNDUP('7990NTP-NP'!#REF!*0.12,2)</f>
        <v>#REF!</v>
      </c>
      <c r="D172" s="198"/>
      <c r="E172" s="141" t="s">
        <v>225</v>
      </c>
      <c r="F172" s="197" t="s">
        <v>226</v>
      </c>
      <c r="G172" s="196" t="e">
        <f>ROUNDUP('7990NTP-NP'!#REF!*0.12,2)</f>
        <v>#REF!</v>
      </c>
      <c r="H172" s="198"/>
      <c r="I172" s="141" t="s">
        <v>225</v>
      </c>
      <c r="J172" s="195" t="s">
        <v>226</v>
      </c>
      <c r="K172" s="196" t="e">
        <f>ROUNDUP('7990NTP-NP'!#REF!*0.12,2)</f>
        <v>#REF!</v>
      </c>
      <c r="L172" s="198"/>
      <c r="M172" s="141" t="s">
        <v>225</v>
      </c>
      <c r="N172" s="195" t="s">
        <v>226</v>
      </c>
      <c r="O172" s="196" t="e">
        <f>ROUNDUP('7990NTP-NP'!#REF!*0.12,2)</f>
        <v>#REF!</v>
      </c>
      <c r="P172" s="198"/>
      <c r="Q172" s="141" t="s">
        <v>225</v>
      </c>
      <c r="R172" s="195" t="s">
        <v>226</v>
      </c>
      <c r="S172" s="196" t="e">
        <f>ROUNDUP('7990NTP-NP'!#REF!*0.12,2)</f>
        <v>#REF!</v>
      </c>
      <c r="T172" s="198"/>
      <c r="U172" s="141" t="s">
        <v>225</v>
      </c>
      <c r="V172" s="195" t="s">
        <v>226</v>
      </c>
      <c r="W172" s="196" t="e">
        <f>ROUNDUP('7990NTP-NP'!#REF!*0.12,2)</f>
        <v>#REF!</v>
      </c>
      <c r="X172" s="198"/>
      <c r="Y172" s="141" t="s">
        <v>225</v>
      </c>
      <c r="Z172" s="195" t="s">
        <v>226</v>
      </c>
      <c r="AA172" s="196" t="e">
        <f>ROUNDUP('7990NTP-NP'!#REF!*0.12,2)</f>
        <v>#REF!</v>
      </c>
      <c r="AB172" s="198"/>
      <c r="AC172" s="199" t="e">
        <f>IF(C172+G172+K172+O172+S172+W172+AA172&gt;0,C172+G172+K172+O172+S172+W172+AA172,0)</f>
        <v>#REF!</v>
      </c>
      <c r="AD172" s="153"/>
    </row>
    <row r="173" spans="1:30" x14ac:dyDescent="0.25">
      <c r="A173" s="194"/>
      <c r="B173" s="113"/>
      <c r="C173" s="235"/>
      <c r="D173" s="240"/>
      <c r="E173" s="241"/>
      <c r="F173" s="242"/>
      <c r="G173" s="243"/>
      <c r="H173" s="240"/>
      <c r="I173" s="241"/>
      <c r="J173" s="242"/>
      <c r="K173" s="243"/>
      <c r="L173" s="240"/>
      <c r="M173" s="241"/>
      <c r="N173" s="240"/>
      <c r="O173" s="240"/>
      <c r="P173" s="240"/>
      <c r="Q173" s="241"/>
      <c r="R173" s="240"/>
      <c r="S173" s="240"/>
      <c r="T173" s="240"/>
      <c r="U173" s="241"/>
      <c r="V173" s="240"/>
      <c r="W173" s="240"/>
      <c r="X173" s="240"/>
      <c r="Y173" s="241"/>
      <c r="Z173" s="240"/>
      <c r="AA173" s="240"/>
      <c r="AB173" s="240"/>
      <c r="AC173" s="244"/>
      <c r="AD173" s="153"/>
    </row>
    <row r="174" spans="1:30" ht="40.200000000000003" x14ac:dyDescent="0.3">
      <c r="A174" s="245">
        <v>84</v>
      </c>
      <c r="B174" s="195" t="s">
        <v>40</v>
      </c>
      <c r="C174" s="196">
        <f>F224</f>
        <v>0</v>
      </c>
      <c r="D174" s="246"/>
      <c r="E174" s="247"/>
      <c r="F174" s="248"/>
      <c r="G174" s="249"/>
      <c r="H174" s="246"/>
      <c r="I174" s="247"/>
      <c r="J174" s="248"/>
      <c r="K174" s="249"/>
      <c r="L174" s="246"/>
      <c r="M174" s="247"/>
      <c r="N174" s="246"/>
      <c r="O174" s="246"/>
      <c r="P174" s="246"/>
      <c r="Q174" s="247"/>
      <c r="R174" s="246"/>
      <c r="S174" s="246"/>
      <c r="T174" s="246"/>
      <c r="U174" s="247"/>
      <c r="V174" s="246"/>
      <c r="W174" s="246"/>
      <c r="X174" s="246"/>
      <c r="Y174" s="247"/>
      <c r="Z174" s="246"/>
      <c r="AA174" s="246"/>
      <c r="AB174" s="246"/>
      <c r="AC174" s="244"/>
      <c r="AD174" s="153"/>
    </row>
    <row r="175" spans="1:30" ht="27" x14ac:dyDescent="0.3">
      <c r="A175" s="194" t="s">
        <v>41</v>
      </c>
      <c r="B175" s="195" t="s">
        <v>42</v>
      </c>
      <c r="C175" s="196">
        <f>F227</f>
        <v>0</v>
      </c>
      <c r="D175" s="246"/>
      <c r="E175" s="247"/>
      <c r="F175" s="248"/>
      <c r="G175" s="249"/>
      <c r="H175" s="246"/>
      <c r="I175" s="247"/>
      <c r="J175" s="248"/>
      <c r="K175" s="249"/>
      <c r="L175" s="246"/>
      <c r="M175" s="247"/>
      <c r="N175" s="246"/>
      <c r="O175" s="246"/>
      <c r="P175" s="246"/>
      <c r="Q175" s="247"/>
      <c r="R175" s="246"/>
      <c r="S175" s="246"/>
      <c r="T175" s="246"/>
      <c r="U175" s="247"/>
      <c r="V175" s="246"/>
      <c r="W175" s="246"/>
      <c r="X175" s="246"/>
      <c r="Y175" s="247"/>
      <c r="Z175" s="246"/>
      <c r="AA175" s="246"/>
      <c r="AB175" s="246"/>
      <c r="AC175" s="244"/>
      <c r="AD175" s="153"/>
    </row>
    <row r="176" spans="1:30" ht="13.8" x14ac:dyDescent="0.3">
      <c r="A176" s="194"/>
      <c r="B176" s="250"/>
      <c r="C176" s="200"/>
      <c r="D176" s="246"/>
      <c r="E176" s="247"/>
      <c r="F176" s="248"/>
      <c r="G176" s="249"/>
      <c r="H176" s="246"/>
      <c r="I176" s="247"/>
      <c r="J176" s="248"/>
      <c r="K176" s="249"/>
      <c r="L176" s="246"/>
      <c r="M176" s="247"/>
      <c r="N176" s="246"/>
      <c r="O176" s="246"/>
      <c r="P176" s="246"/>
      <c r="Q176" s="247"/>
      <c r="R176" s="246"/>
      <c r="S176" s="246"/>
      <c r="T176" s="246"/>
      <c r="U176" s="247"/>
      <c r="V176" s="246"/>
      <c r="W176" s="246"/>
      <c r="X176" s="246"/>
      <c r="Y176" s="247"/>
      <c r="Z176" s="246"/>
      <c r="AA176" s="246"/>
      <c r="AB176" s="246"/>
      <c r="AC176" s="244"/>
      <c r="AD176" s="153"/>
    </row>
    <row r="177" spans="1:30" ht="13.8" x14ac:dyDescent="0.3">
      <c r="A177" s="251"/>
      <c r="B177" s="252"/>
      <c r="C177" s="253"/>
      <c r="D177" s="254"/>
      <c r="E177" s="254"/>
      <c r="F177" s="254"/>
      <c r="G177" s="255"/>
      <c r="H177" s="254"/>
      <c r="I177" s="254"/>
      <c r="J177" s="254"/>
      <c r="K177" s="255"/>
      <c r="L177" s="254"/>
      <c r="M177" s="254"/>
      <c r="N177" s="254"/>
      <c r="O177" s="174"/>
      <c r="P177" s="254"/>
      <c r="Q177" s="254"/>
      <c r="R177" s="254"/>
      <c r="S177" s="174"/>
      <c r="T177" s="254"/>
      <c r="U177" s="254"/>
      <c r="V177" s="254"/>
      <c r="W177" s="174"/>
      <c r="X177" s="254"/>
      <c r="Y177" s="254"/>
      <c r="Z177" s="254"/>
      <c r="AA177" s="174"/>
      <c r="AB177" s="254"/>
      <c r="AC177" s="256"/>
      <c r="AD177" s="153"/>
    </row>
    <row r="178" spans="1:30" ht="14.4" thickBot="1" x14ac:dyDescent="0.35">
      <c r="A178" s="251"/>
      <c r="B178" s="257"/>
      <c r="C178" s="258"/>
      <c r="D178" s="259"/>
      <c r="E178" s="259"/>
      <c r="F178" s="259"/>
      <c r="G178" s="260"/>
      <c r="H178" s="153"/>
      <c r="I178" s="153"/>
      <c r="J178" s="153"/>
      <c r="K178" s="261"/>
      <c r="L178" s="262"/>
      <c r="M178" s="262"/>
      <c r="N178" s="262"/>
      <c r="O178" s="174"/>
      <c r="P178" s="262"/>
      <c r="Q178" s="262"/>
      <c r="R178" s="262"/>
      <c r="S178" s="174"/>
      <c r="T178" s="262"/>
      <c r="U178" s="262"/>
      <c r="V178" s="262"/>
      <c r="W178" s="174"/>
      <c r="X178" s="262"/>
      <c r="Y178" s="262"/>
      <c r="Z178" s="262"/>
      <c r="AA178" s="174"/>
      <c r="AB178" s="262"/>
      <c r="AC178" s="153"/>
      <c r="AD178" s="153"/>
    </row>
    <row r="179" spans="1:30" ht="13.5" customHeight="1" thickBot="1" x14ac:dyDescent="0.35">
      <c r="A179" s="263"/>
      <c r="B179" s="526" t="s">
        <v>57</v>
      </c>
      <c r="C179" s="527"/>
      <c r="D179" s="528"/>
      <c r="E179" s="264"/>
      <c r="F179" s="264"/>
      <c r="G179" s="265"/>
      <c r="H179" s="266"/>
      <c r="I179" s="266"/>
      <c r="J179" s="266"/>
      <c r="K179" s="267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53"/>
      <c r="AD179" s="153"/>
    </row>
    <row r="180" spans="1:30" ht="41.4" x14ac:dyDescent="0.25">
      <c r="A180" s="191" t="s">
        <v>43</v>
      </c>
      <c r="B180" s="268" t="s">
        <v>66</v>
      </c>
      <c r="C180" s="189">
        <f>SUM('7990NTP-NP'!K12*1)</f>
        <v>0</v>
      </c>
      <c r="D180" s="269">
        <f>'7990NTP-NP'!C12</f>
        <v>0</v>
      </c>
      <c r="E180" s="202" t="s">
        <v>43</v>
      </c>
      <c r="F180" s="270" t="s">
        <v>66</v>
      </c>
      <c r="G180" s="196">
        <f>SUM('7990NTP-NP'!L12*1)</f>
        <v>0</v>
      </c>
      <c r="H180" s="216">
        <f>'7990NTP-NP'!D12</f>
        <v>0</v>
      </c>
      <c r="I180" s="202" t="s">
        <v>43</v>
      </c>
      <c r="J180" s="270" t="s">
        <v>66</v>
      </c>
      <c r="K180" s="196">
        <f>SUM('7990NTP-NP'!M12*1)</f>
        <v>0</v>
      </c>
      <c r="L180" s="216">
        <f>'7990NTP-NP'!E12</f>
        <v>0</v>
      </c>
      <c r="M180" s="202" t="s">
        <v>43</v>
      </c>
      <c r="N180" s="270" t="s">
        <v>66</v>
      </c>
      <c r="O180" s="196">
        <f>SUM('7990NTP-NP'!N12*1)</f>
        <v>0</v>
      </c>
      <c r="P180" s="216">
        <f>'7990NTP-NP'!F12</f>
        <v>0</v>
      </c>
      <c r="Q180" s="202" t="s">
        <v>43</v>
      </c>
      <c r="R180" s="270" t="s">
        <v>66</v>
      </c>
      <c r="S180" s="196">
        <f>SUM('7990NTP-NP'!O12*1)</f>
        <v>0</v>
      </c>
      <c r="T180" s="216">
        <f>'7990NTP-NP'!G12</f>
        <v>0</v>
      </c>
      <c r="U180" s="202" t="s">
        <v>43</v>
      </c>
      <c r="V180" s="270" t="s">
        <v>66</v>
      </c>
      <c r="W180" s="196">
        <f>SUM('7990NTP-NP'!P12*1)</f>
        <v>0</v>
      </c>
      <c r="X180" s="216">
        <f>'7990NTP-NP'!H12</f>
        <v>0</v>
      </c>
      <c r="Y180" s="202" t="s">
        <v>43</v>
      </c>
      <c r="Z180" s="270" t="s">
        <v>66</v>
      </c>
      <c r="AA180" s="196">
        <f>SUM('7990NTP-NP'!Q12*1)</f>
        <v>0</v>
      </c>
      <c r="AB180" s="216">
        <f>'7990NTP-NP'!I12</f>
        <v>0</v>
      </c>
      <c r="AC180" s="199">
        <f>IF(C180+G180+K180+O180+S180+W180+AA180&gt;0,C180+G180+K180+O180+S180+W180+AA180,0)</f>
        <v>0</v>
      </c>
      <c r="AD180" s="153"/>
    </row>
    <row r="181" spans="1:30" ht="27.6" x14ac:dyDescent="0.25">
      <c r="A181" s="271">
        <v>84</v>
      </c>
      <c r="B181" s="272" t="s">
        <v>50</v>
      </c>
      <c r="C181" s="273">
        <f>F225</f>
        <v>0</v>
      </c>
      <c r="D181" s="274"/>
      <c r="E181" s="259"/>
      <c r="F181" s="259"/>
      <c r="G181" s="260"/>
      <c r="H181" s="256"/>
      <c r="I181" s="256"/>
      <c r="J181" s="256"/>
      <c r="K181" s="261"/>
      <c r="L181" s="262"/>
      <c r="M181" s="262"/>
      <c r="N181" s="262"/>
      <c r="O181" s="261"/>
      <c r="P181" s="262"/>
      <c r="Q181" s="262"/>
      <c r="R181" s="262"/>
      <c r="S181" s="261"/>
      <c r="T181" s="262"/>
      <c r="U181" s="262"/>
      <c r="V181" s="262"/>
      <c r="W181" s="261"/>
      <c r="X181" s="262"/>
      <c r="Y181" s="262"/>
      <c r="Z181" s="262"/>
      <c r="AA181" s="261"/>
      <c r="AB181" s="262"/>
      <c r="AC181" s="275"/>
      <c r="AD181" s="153"/>
    </row>
    <row r="182" spans="1:30" ht="13.8" x14ac:dyDescent="0.25">
      <c r="A182" s="276" t="s">
        <v>41</v>
      </c>
      <c r="B182" s="277" t="s">
        <v>46</v>
      </c>
      <c r="C182" s="273">
        <f>F228</f>
        <v>0</v>
      </c>
      <c r="D182" s="278"/>
      <c r="E182" s="259"/>
      <c r="F182" s="259"/>
      <c r="G182" s="260"/>
      <c r="H182" s="256"/>
      <c r="I182" s="256"/>
      <c r="J182" s="256"/>
      <c r="K182" s="261"/>
      <c r="L182" s="262"/>
      <c r="M182" s="262"/>
      <c r="N182" s="262"/>
      <c r="O182" s="261"/>
      <c r="P182" s="262"/>
      <c r="Q182" s="262"/>
      <c r="R182" s="262"/>
      <c r="S182" s="261"/>
      <c r="T182" s="262"/>
      <c r="U182" s="262"/>
      <c r="V182" s="262"/>
      <c r="W182" s="261"/>
      <c r="X182" s="262"/>
      <c r="Y182" s="262"/>
      <c r="Z182" s="262"/>
      <c r="AA182" s="261"/>
      <c r="AB182" s="262"/>
      <c r="AC182" s="275"/>
      <c r="AD182" s="153"/>
    </row>
    <row r="183" spans="1:30" ht="15" thickBot="1" x14ac:dyDescent="0.35">
      <c r="A183" s="232"/>
      <c r="B183" s="218"/>
      <c r="C183" s="279"/>
      <c r="D183" s="259"/>
      <c r="E183" s="259"/>
      <c r="F183" s="259"/>
      <c r="G183" s="260"/>
      <c r="H183" s="256"/>
      <c r="I183" s="256"/>
      <c r="J183" s="256"/>
      <c r="K183" s="261"/>
      <c r="L183" s="262"/>
      <c r="M183" s="262"/>
      <c r="N183" s="262"/>
      <c r="O183" s="261"/>
      <c r="P183" s="262"/>
      <c r="Q183" s="262"/>
      <c r="R183" s="262"/>
      <c r="S183" s="261"/>
      <c r="T183" s="262"/>
      <c r="U183" s="262"/>
      <c r="V183" s="262"/>
      <c r="W183" s="261"/>
      <c r="X183" s="262"/>
      <c r="Y183" s="262"/>
      <c r="Z183" s="262"/>
      <c r="AA183" s="261"/>
      <c r="AB183" s="262"/>
      <c r="AC183" s="275"/>
      <c r="AD183" s="153"/>
    </row>
    <row r="184" spans="1:30" ht="15" thickBot="1" x14ac:dyDescent="0.35">
      <c r="A184" s="251"/>
      <c r="B184" s="257"/>
      <c r="C184" s="258"/>
      <c r="D184" s="259"/>
      <c r="E184" s="259"/>
      <c r="F184" s="259"/>
      <c r="G184" s="260"/>
      <c r="H184" s="256"/>
      <c r="I184" s="256"/>
      <c r="J184" s="256"/>
      <c r="K184" s="261"/>
      <c r="L184" s="262"/>
      <c r="M184" s="262"/>
      <c r="N184" s="262"/>
      <c r="O184" s="261"/>
      <c r="P184" s="262"/>
      <c r="Q184" s="262"/>
      <c r="R184" s="262"/>
      <c r="S184" s="261"/>
      <c r="T184" s="262"/>
      <c r="U184" s="262"/>
      <c r="V184" s="262"/>
      <c r="W184" s="261"/>
      <c r="X184" s="262"/>
      <c r="Y184" s="262"/>
      <c r="Z184" s="262"/>
      <c r="AA184" s="261"/>
      <c r="AB184" s="262"/>
      <c r="AC184" s="275"/>
      <c r="AD184" s="153"/>
    </row>
    <row r="185" spans="1:30" ht="15" thickBot="1" x14ac:dyDescent="0.35">
      <c r="A185" s="263"/>
      <c r="B185" s="526" t="s">
        <v>56</v>
      </c>
      <c r="C185" s="527"/>
      <c r="D185" s="528"/>
      <c r="E185" s="264"/>
      <c r="F185" s="264"/>
      <c r="G185" s="265"/>
      <c r="H185" s="266"/>
      <c r="I185" s="266"/>
      <c r="J185" s="266"/>
      <c r="K185" s="267"/>
      <c r="L185" s="174"/>
      <c r="M185" s="174"/>
      <c r="N185" s="174"/>
      <c r="O185" s="267"/>
      <c r="P185" s="174"/>
      <c r="Q185" s="174"/>
      <c r="R185" s="174"/>
      <c r="S185" s="267"/>
      <c r="T185" s="174"/>
      <c r="U185" s="174"/>
      <c r="V185" s="174"/>
      <c r="W185" s="267"/>
      <c r="X185" s="174"/>
      <c r="Y185" s="174"/>
      <c r="Z185" s="174"/>
      <c r="AA185" s="267"/>
      <c r="AB185" s="174"/>
      <c r="AC185" s="275"/>
      <c r="AD185" s="153"/>
    </row>
    <row r="186" spans="1:30" ht="66.599999999999994" x14ac:dyDescent="0.3">
      <c r="A186" s="191" t="s">
        <v>44</v>
      </c>
      <c r="B186" s="493" t="s">
        <v>67</v>
      </c>
      <c r="C186" s="494">
        <f>SUM('7990NTP-NP'!K19*1)</f>
        <v>0</v>
      </c>
      <c r="D186" s="495">
        <f>'7990NTP-NP'!C19</f>
        <v>0</v>
      </c>
      <c r="E186" s="202" t="s">
        <v>44</v>
      </c>
      <c r="F186" s="270" t="s">
        <v>67</v>
      </c>
      <c r="G186" s="482">
        <f>SUM('7990NTP-NP'!L19*1)</f>
        <v>0</v>
      </c>
      <c r="H186" s="483">
        <f>'7990NTP-NP'!D19</f>
        <v>0</v>
      </c>
      <c r="I186" s="202" t="s">
        <v>44</v>
      </c>
      <c r="J186" s="270" t="s">
        <v>67</v>
      </c>
      <c r="K186" s="482">
        <f>SUM('7990NTP-NP'!M19*1)</f>
        <v>0</v>
      </c>
      <c r="L186" s="483">
        <f>'7990NTP-NP'!E19</f>
        <v>0</v>
      </c>
      <c r="M186" s="202" t="s">
        <v>44</v>
      </c>
      <c r="N186" s="270" t="s">
        <v>67</v>
      </c>
      <c r="O186" s="482">
        <f>SUM('7990NTP-NP'!N19*1)</f>
        <v>0</v>
      </c>
      <c r="P186" s="483">
        <f>'7990NTP-NP'!F19</f>
        <v>0</v>
      </c>
      <c r="Q186" s="202" t="s">
        <v>44</v>
      </c>
      <c r="R186" s="270" t="s">
        <v>67</v>
      </c>
      <c r="S186" s="482">
        <f>SUM('7990NTP-NP'!O19*1)</f>
        <v>0</v>
      </c>
      <c r="T186" s="483">
        <f>'7990NTP-NP'!G19</f>
        <v>0</v>
      </c>
      <c r="U186" s="202" t="s">
        <v>44</v>
      </c>
      <c r="V186" s="270" t="s">
        <v>67</v>
      </c>
      <c r="W186" s="482">
        <f>SUM('7990NTP-NP'!P19*1)</f>
        <v>0</v>
      </c>
      <c r="X186" s="483">
        <f>'7990NTP-NP'!H19</f>
        <v>0</v>
      </c>
      <c r="Y186" s="202" t="s">
        <v>44</v>
      </c>
      <c r="Z186" s="270" t="s">
        <v>67</v>
      </c>
      <c r="AA186" s="482">
        <f>SUM('7990NTP-NP'!Q19*1)</f>
        <v>0</v>
      </c>
      <c r="AB186" s="483">
        <f>'7990NTP-NP'!I19</f>
        <v>0</v>
      </c>
      <c r="AC186" s="485">
        <f>IF(C186+G186+K186+O186+S186+W186+AA186&gt;0,C186+G186+K186+O186+S186+W186+AA186,0)</f>
        <v>0</v>
      </c>
      <c r="AD186" s="153"/>
    </row>
    <row r="187" spans="1:30" ht="66" x14ac:dyDescent="0.25">
      <c r="A187" s="486" t="s">
        <v>556</v>
      </c>
      <c r="B187" s="487" t="s">
        <v>555</v>
      </c>
      <c r="C187" s="482">
        <f>ROUNDDOWN('7990NTP-NP'!$K$20*0.6934,2)</f>
        <v>0</v>
      </c>
      <c r="D187" s="488">
        <f>'7990NTP-NP'!C20</f>
        <v>0</v>
      </c>
      <c r="E187" s="489" t="s">
        <v>556</v>
      </c>
      <c r="F187" s="487" t="s">
        <v>555</v>
      </c>
      <c r="G187" s="482">
        <f>ROUNDDOWN('7990NTP-NP'!$L$20*0.6934,2)</f>
        <v>0</v>
      </c>
      <c r="H187" s="483">
        <f>'7990NTP-NP'!D20</f>
        <v>0</v>
      </c>
      <c r="I187" s="490" t="s">
        <v>556</v>
      </c>
      <c r="J187" s="487" t="s">
        <v>555</v>
      </c>
      <c r="K187" s="482">
        <f>ROUNDDOWN('7990NTP-NP'!$M$20*0.6934,2)</f>
        <v>0</v>
      </c>
      <c r="L187" s="483">
        <f>'7990NTP-NP'!E20</f>
        <v>0</v>
      </c>
      <c r="M187" s="490" t="s">
        <v>556</v>
      </c>
      <c r="N187" s="487" t="s">
        <v>555</v>
      </c>
      <c r="O187" s="482">
        <f>ROUNDDOWN('7990NTP-NP'!$N$20*0.6934,2)</f>
        <v>0</v>
      </c>
      <c r="P187" s="483">
        <f>'7990NTP-NP'!F20</f>
        <v>0</v>
      </c>
      <c r="Q187" s="490" t="s">
        <v>556</v>
      </c>
      <c r="R187" s="487" t="s">
        <v>555</v>
      </c>
      <c r="S187" s="482">
        <f>ROUNDDOWN('7990NTP-NP'!$O$20*0.6934,2)</f>
        <v>0</v>
      </c>
      <c r="T187" s="483">
        <f>'7990NTP-NP'!G20</f>
        <v>0</v>
      </c>
      <c r="U187" s="490" t="s">
        <v>556</v>
      </c>
      <c r="V187" s="487" t="s">
        <v>555</v>
      </c>
      <c r="W187" s="482">
        <f>ROUNDDOWN('7990NTP-NP'!$P$20*0.6934,2)</f>
        <v>0</v>
      </c>
      <c r="X187" s="488">
        <f>'7990NTP-NP'!H20</f>
        <v>0</v>
      </c>
      <c r="Y187" s="489" t="s">
        <v>556</v>
      </c>
      <c r="Z187" s="487" t="s">
        <v>555</v>
      </c>
      <c r="AA187" s="482">
        <f>ROUNDDOWN('7990NTP-NP'!$Q$20*0.6934,2)</f>
        <v>0</v>
      </c>
      <c r="AB187" s="483">
        <f>'7990NTP-NP'!I20</f>
        <v>0</v>
      </c>
      <c r="AC187" s="485">
        <f>IF(C187+G187+K187+O187+S187+W187+AA187&gt;0,C187+G187+K187+O187+S187+W187+AA187,0)</f>
        <v>0</v>
      </c>
      <c r="AD187" s="153"/>
    </row>
    <row r="188" spans="1:30" ht="66" x14ac:dyDescent="0.25">
      <c r="A188" s="486" t="s">
        <v>557</v>
      </c>
      <c r="B188" s="487" t="s">
        <v>558</v>
      </c>
      <c r="C188" s="482">
        <f>ROUNDUP('7990NTP-NP'!$K$20*0.3066,2)</f>
        <v>0</v>
      </c>
      <c r="D188" s="483"/>
      <c r="E188" s="490" t="s">
        <v>557</v>
      </c>
      <c r="F188" s="487" t="s">
        <v>558</v>
      </c>
      <c r="G188" s="482">
        <f>ROUNDUP('7990NTP-NP'!$L$20*0.3066,2)</f>
        <v>0</v>
      </c>
      <c r="H188" s="488"/>
      <c r="I188" s="489" t="s">
        <v>557</v>
      </c>
      <c r="J188" s="487" t="s">
        <v>558</v>
      </c>
      <c r="K188" s="482">
        <f>ROUNDUP('7990NTP-NP'!$M$20*0.3066,2)</f>
        <v>0</v>
      </c>
      <c r="L188" s="488"/>
      <c r="M188" s="489" t="s">
        <v>557</v>
      </c>
      <c r="N188" s="487" t="s">
        <v>558</v>
      </c>
      <c r="O188" s="482">
        <f>ROUNDUP('7990NTP-NP'!$N$20*0.3066,2)</f>
        <v>0</v>
      </c>
      <c r="P188" s="488"/>
      <c r="Q188" s="489" t="s">
        <v>557</v>
      </c>
      <c r="R188" s="487" t="s">
        <v>558</v>
      </c>
      <c r="S188" s="482">
        <f>ROUNDUP('7990NTP-NP'!$O$20*0.3066,2)</f>
        <v>0</v>
      </c>
      <c r="T188" s="488"/>
      <c r="U188" s="489" t="s">
        <v>557</v>
      </c>
      <c r="V188" s="487" t="s">
        <v>558</v>
      </c>
      <c r="W188" s="482">
        <f>ROUNDUP('7990NTP-NP'!$P$20*0.3066,2)</f>
        <v>0</v>
      </c>
      <c r="X188" s="483"/>
      <c r="Y188" s="490" t="s">
        <v>557</v>
      </c>
      <c r="Z188" s="487" t="s">
        <v>558</v>
      </c>
      <c r="AA188" s="482">
        <f>ROUNDUP('7990NTP-NP'!$Q$20*0.3066,2)</f>
        <v>0</v>
      </c>
      <c r="AB188" s="483"/>
      <c r="AC188" s="485">
        <f>IF(C188+G188+K188+O188+S188+W188+AA188&gt;0,C188+G188+K188+O188+S188+W188+AA188,0)</f>
        <v>0</v>
      </c>
      <c r="AD188" s="153"/>
    </row>
    <row r="189" spans="1:30" ht="66" x14ac:dyDescent="0.25">
      <c r="A189" s="479" t="s">
        <v>577</v>
      </c>
      <c r="B189" s="481" t="s">
        <v>575</v>
      </c>
      <c r="C189" s="482">
        <f>ROUNDDOWN('7990NTP-NP'!$K$21*0.562,2)</f>
        <v>0</v>
      </c>
      <c r="D189" s="483">
        <f>'7990NTP-NP'!C21</f>
        <v>0</v>
      </c>
      <c r="E189" s="480" t="s">
        <v>577</v>
      </c>
      <c r="F189" s="481" t="s">
        <v>575</v>
      </c>
      <c r="G189" s="482">
        <f>ROUNDDOWN('7990NTP-NP'!$L$21*0.562,2)</f>
        <v>0</v>
      </c>
      <c r="H189" s="484">
        <f>'7990NTP-NP'!D21</f>
        <v>0</v>
      </c>
      <c r="I189" s="479" t="s">
        <v>577</v>
      </c>
      <c r="J189" s="481" t="s">
        <v>575</v>
      </c>
      <c r="K189" s="482">
        <f>ROUNDDOWN('7990NTP-NP'!M21*0.562,2)</f>
        <v>0</v>
      </c>
      <c r="L189" s="483">
        <f>'7990NTP-NP'!E21</f>
        <v>0</v>
      </c>
      <c r="M189" s="480" t="s">
        <v>577</v>
      </c>
      <c r="N189" s="481" t="s">
        <v>575</v>
      </c>
      <c r="O189" s="482">
        <f>ROUNDDOWN('7990NTP-NP'!N21*0.562,2)</f>
        <v>0</v>
      </c>
      <c r="P189" s="483">
        <f>'7990NTP-NP'!F21</f>
        <v>0</v>
      </c>
      <c r="Q189" s="480" t="s">
        <v>577</v>
      </c>
      <c r="R189" s="481" t="s">
        <v>575</v>
      </c>
      <c r="S189" s="482">
        <f>ROUNDDOWN('7990NTP-NP'!O21*0.562,2)</f>
        <v>0</v>
      </c>
      <c r="T189" s="483">
        <f>'7990NTP-NP'!G21</f>
        <v>0</v>
      </c>
      <c r="U189" s="480" t="s">
        <v>577</v>
      </c>
      <c r="V189" s="481" t="s">
        <v>575</v>
      </c>
      <c r="W189" s="482">
        <f>ROUNDDOWN('7990NTP-NP'!P21*0.562,2)</f>
        <v>0</v>
      </c>
      <c r="X189" s="484">
        <f>'7990NTP-NP'!H21</f>
        <v>0</v>
      </c>
      <c r="Y189" s="479" t="s">
        <v>577</v>
      </c>
      <c r="Z189" s="481" t="s">
        <v>575</v>
      </c>
      <c r="AA189" s="482">
        <f>ROUNDDOWN('7990NTP-NP'!Q21*0.562,2)</f>
        <v>0</v>
      </c>
      <c r="AB189" s="483">
        <f>'7990NTP-NP'!I21</f>
        <v>0</v>
      </c>
      <c r="AC189" s="485">
        <f>IF(C189+G189+K189+O189+S189+W189+AA189&gt;0,C189+G189+K189+O189+S189+W189+AA189,0)</f>
        <v>0</v>
      </c>
      <c r="AD189" s="153"/>
    </row>
    <row r="190" spans="1:30" ht="66" x14ac:dyDescent="0.25">
      <c r="A190" s="479" t="s">
        <v>578</v>
      </c>
      <c r="B190" s="481" t="s">
        <v>579</v>
      </c>
      <c r="C190" s="482">
        <f>ROUNDUP('7990NTP-NP'!$K$21*0.438,2)</f>
        <v>0</v>
      </c>
      <c r="D190" s="483"/>
      <c r="E190" s="480" t="s">
        <v>578</v>
      </c>
      <c r="F190" s="481" t="s">
        <v>579</v>
      </c>
      <c r="G190" s="482">
        <f>ROUNDUP('7990NTP-NP'!$L$21*0.438,2)</f>
        <v>0</v>
      </c>
      <c r="H190" s="483"/>
      <c r="I190" s="480" t="s">
        <v>578</v>
      </c>
      <c r="J190" s="481" t="s">
        <v>579</v>
      </c>
      <c r="K190" s="482">
        <f>ROUNDUP('7990NTP-NP'!M21*0.438,2)</f>
        <v>0</v>
      </c>
      <c r="L190" s="484"/>
      <c r="M190" s="479" t="s">
        <v>578</v>
      </c>
      <c r="N190" s="481" t="s">
        <v>579</v>
      </c>
      <c r="O190" s="482">
        <f>ROUNDUP('7990NTP-NP'!N21*0.438,2)</f>
        <v>0</v>
      </c>
      <c r="P190" s="280"/>
      <c r="Q190" s="480" t="s">
        <v>578</v>
      </c>
      <c r="R190" s="481" t="s">
        <v>579</v>
      </c>
      <c r="S190" s="482">
        <f>ROUNDUP('7990NTP-NP'!O21*0.438,2)</f>
        <v>0</v>
      </c>
      <c r="T190" s="281"/>
      <c r="U190" s="480" t="s">
        <v>578</v>
      </c>
      <c r="V190" s="481" t="s">
        <v>579</v>
      </c>
      <c r="W190" s="482">
        <f>ROUNDUP('7990NTP-NP'!P21*0.438,2)</f>
        <v>0</v>
      </c>
      <c r="X190" s="281"/>
      <c r="Y190" s="480" t="s">
        <v>578</v>
      </c>
      <c r="Z190" s="481" t="s">
        <v>579</v>
      </c>
      <c r="AA190" s="482">
        <f>ROUNDUP('7990NTP-NP'!Q21*0.438,2)</f>
        <v>0</v>
      </c>
      <c r="AB190" s="282"/>
      <c r="AC190" s="485">
        <f>IF(C190+G190+K190+O190+S190+W190+AA190&gt;0,C190+G190+K190+O190+S190+W190+AA190,0)</f>
        <v>0</v>
      </c>
      <c r="AD190" s="153"/>
    </row>
    <row r="191" spans="1:30" ht="13.8" x14ac:dyDescent="0.25">
      <c r="A191" s="232"/>
      <c r="B191" s="272"/>
      <c r="C191" s="196"/>
      <c r="D191" s="283"/>
      <c r="E191" s="283"/>
      <c r="F191" s="283"/>
      <c r="G191" s="284"/>
      <c r="H191" s="283"/>
      <c r="I191" s="283"/>
      <c r="J191" s="283"/>
      <c r="K191" s="284"/>
      <c r="L191" s="283"/>
      <c r="M191" s="283"/>
      <c r="N191" s="28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73"/>
      <c r="Z191" s="173"/>
      <c r="AA191" s="173"/>
      <c r="AB191" s="173"/>
      <c r="AC191" s="173"/>
      <c r="AD191" s="153"/>
    </row>
    <row r="192" spans="1:30" ht="27.6" x14ac:dyDescent="0.25">
      <c r="A192" s="285">
        <v>84</v>
      </c>
      <c r="B192" s="286" t="s">
        <v>51</v>
      </c>
      <c r="C192" s="287">
        <f>F226</f>
        <v>0</v>
      </c>
      <c r="D192" s="288"/>
      <c r="E192" s="288"/>
      <c r="F192" s="288"/>
      <c r="G192" s="289"/>
      <c r="H192" s="290"/>
      <c r="I192" s="290"/>
      <c r="J192" s="290"/>
      <c r="K192" s="291"/>
      <c r="L192" s="292"/>
      <c r="M192" s="292"/>
      <c r="N192" s="292"/>
      <c r="O192" s="173"/>
      <c r="P192" s="173"/>
      <c r="Q192" s="173"/>
      <c r="R192" s="173"/>
      <c r="S192" s="173"/>
      <c r="T192" s="173"/>
      <c r="U192" s="173"/>
      <c r="V192" s="173"/>
      <c r="W192" s="173"/>
      <c r="X192" s="173"/>
      <c r="Y192" s="173"/>
      <c r="Z192" s="173"/>
      <c r="AA192" s="173"/>
      <c r="AB192" s="173"/>
      <c r="AC192" s="173"/>
    </row>
    <row r="193" spans="1:30" ht="13.8" x14ac:dyDescent="0.25">
      <c r="A193" s="276" t="s">
        <v>41</v>
      </c>
      <c r="B193" s="293" t="s">
        <v>46</v>
      </c>
      <c r="C193" s="273">
        <f>F229</f>
        <v>0</v>
      </c>
      <c r="D193" s="294"/>
      <c r="E193" s="288"/>
      <c r="F193" s="288"/>
      <c r="G193" s="289"/>
      <c r="H193" s="295"/>
      <c r="I193" s="295"/>
      <c r="J193" s="295"/>
      <c r="K193" s="291"/>
      <c r="L193" s="181"/>
      <c r="M193" s="181"/>
      <c r="N193" s="181"/>
      <c r="O193" s="173"/>
      <c r="P193" s="173"/>
      <c r="Q193" s="173"/>
      <c r="R193" s="173"/>
      <c r="S193" s="173"/>
      <c r="T193" s="173"/>
      <c r="U193" s="173"/>
      <c r="V193" s="173"/>
      <c r="W193" s="173"/>
      <c r="X193" s="173"/>
      <c r="Y193" s="173"/>
      <c r="Z193" s="173"/>
      <c r="AA193" s="173"/>
      <c r="AB193" s="173"/>
      <c r="AC193" s="173"/>
    </row>
    <row r="194" spans="1:30" ht="14.4" thickBot="1" x14ac:dyDescent="0.35">
      <c r="A194" s="296"/>
      <c r="B194" s="297"/>
      <c r="C194" s="298"/>
      <c r="D194" s="299"/>
      <c r="E194" s="299"/>
      <c r="F194" s="299"/>
      <c r="G194" s="300"/>
      <c r="H194" s="301"/>
      <c r="I194" s="301"/>
      <c r="J194" s="301"/>
      <c r="K194" s="302"/>
      <c r="L194" s="303"/>
      <c r="M194" s="303"/>
      <c r="N194" s="303"/>
      <c r="O194" s="173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  <c r="Z194" s="173"/>
      <c r="AA194" s="173"/>
      <c r="AB194" s="173"/>
      <c r="AC194" s="173"/>
    </row>
    <row r="195" spans="1:30" ht="13.8" x14ac:dyDescent="0.3">
      <c r="A195" s="165"/>
      <c r="B195" s="147"/>
      <c r="C195" s="166"/>
      <c r="D195" s="299"/>
      <c r="E195" s="299"/>
      <c r="F195" s="299"/>
      <c r="G195" s="304"/>
      <c r="H195" s="301"/>
      <c r="I195" s="301"/>
      <c r="J195" s="301"/>
      <c r="K195" s="304"/>
      <c r="L195" s="303"/>
      <c r="M195" s="303"/>
      <c r="N195" s="303"/>
    </row>
    <row r="196" spans="1:30" s="174" customFormat="1" ht="14.4" thickBot="1" x14ac:dyDescent="0.35">
      <c r="A196" s="169"/>
      <c r="B196" s="175"/>
      <c r="C196" s="300"/>
      <c r="D196" s="305"/>
      <c r="E196" s="305"/>
      <c r="F196" s="305"/>
      <c r="G196" s="300"/>
      <c r="H196" s="92"/>
      <c r="I196" s="92"/>
      <c r="J196" s="92"/>
      <c r="K196" s="170"/>
      <c r="L196" s="171"/>
      <c r="M196" s="171"/>
      <c r="N196" s="171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/>
      <c r="AD196" s="173"/>
    </row>
    <row r="197" spans="1:30" s="174" customFormat="1" ht="16.5" customHeight="1" thickBot="1" x14ac:dyDescent="0.35">
      <c r="A197" s="92"/>
      <c r="B197" s="529" t="s">
        <v>92</v>
      </c>
      <c r="C197" s="530"/>
      <c r="D197" s="531"/>
      <c r="E197" s="306" t="s">
        <v>10</v>
      </c>
      <c r="F197" s="307" t="s">
        <v>20</v>
      </c>
      <c r="G197" s="308" t="s">
        <v>21</v>
      </c>
      <c r="H197" s="309" t="s">
        <v>22</v>
      </c>
      <c r="I197" s="309" t="s">
        <v>115</v>
      </c>
      <c r="J197" s="173"/>
      <c r="K197" s="173"/>
      <c r="L197" s="155"/>
      <c r="M197" s="155"/>
      <c r="N197" s="155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2"/>
      <c r="AC197" s="152"/>
      <c r="AD197" s="173"/>
    </row>
    <row r="198" spans="1:30" s="174" customFormat="1" ht="16.5" customHeight="1" thickBot="1" x14ac:dyDescent="0.35">
      <c r="A198" s="92"/>
      <c r="B198" s="532" t="s">
        <v>32</v>
      </c>
      <c r="C198" s="533"/>
      <c r="D198" s="534"/>
      <c r="E198" s="310"/>
      <c r="F198" s="311"/>
      <c r="G198" s="312"/>
      <c r="H198" s="311"/>
      <c r="I198" s="313"/>
      <c r="J198" s="173"/>
      <c r="K198" s="319"/>
      <c r="L198" s="314"/>
      <c r="M198" s="314"/>
      <c r="N198" s="314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2"/>
      <c r="AC198" s="152"/>
      <c r="AD198" s="173"/>
    </row>
    <row r="199" spans="1:30" s="174" customFormat="1" ht="12.45" customHeight="1" x14ac:dyDescent="0.25">
      <c r="A199" s="92"/>
      <c r="B199" s="535" t="s">
        <v>7</v>
      </c>
      <c r="C199" s="536"/>
      <c r="D199" s="537"/>
      <c r="E199" s="315">
        <f>IF('7990NTP-NP'!E58&gt;0,'7990NTP-NP'!E58-'7990NTP-NP'!C58-'7990NTP-NP'!D58,0)</f>
        <v>0</v>
      </c>
      <c r="F199" s="316">
        <f t="shared" ref="F199:F205" si="0">G199+H199+I199</f>
        <v>0</v>
      </c>
      <c r="G199" s="317">
        <f>C$18+C$23+C$27+C$30+C$33+C$36+C$39+C$44+C$47+C$50+C$55+C$58+C$63+C$66+C$71+C$76+C$79+C$82+C$85+C$92+C$99+C$102+C$105+C$108</f>
        <v>0</v>
      </c>
      <c r="H199" s="502">
        <f>C$19+C$28+C$31+C$34+C$37+C$40+C$56+C$59+C$64+C$77+C$80+C61</f>
        <v>0</v>
      </c>
      <c r="I199" s="318">
        <f>C$21+C$25+C$42+C$45+C$48+C$51+C$53+C$67+C$69+C$72+C$74+C$83+C$86+C88+C90+C$93+C$95+C$100+C$103+C$106+C$109+C$111+C97+C127</f>
        <v>0</v>
      </c>
      <c r="J199" s="173"/>
      <c r="K199" s="173"/>
      <c r="L199" s="155"/>
      <c r="M199" s="155"/>
      <c r="N199" s="155"/>
      <c r="O199" s="319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73"/>
    </row>
    <row r="200" spans="1:30" s="174" customFormat="1" ht="12.45" customHeight="1" x14ac:dyDescent="0.25">
      <c r="A200" s="92"/>
      <c r="B200" s="535" t="s">
        <v>8</v>
      </c>
      <c r="C200" s="536"/>
      <c r="D200" s="537"/>
      <c r="E200" s="320">
        <f>'7990NTP-NP'!E59-E208-E216</f>
        <v>0</v>
      </c>
      <c r="F200" s="321">
        <f t="shared" si="0"/>
        <v>0</v>
      </c>
      <c r="G200" s="317">
        <f>G$18+G$23+G$27+G$30+G$33+G$36+G$39+G$44+G$47+G$50+G$55+G$58+G$63+G$66+G$71+G$76+G$79+G$82+G$85+G$92+G$99+G$102+G$105+G$108</f>
        <v>0</v>
      </c>
      <c r="H200" s="503">
        <f>G$19+G$28+G$31+G$34+G$37+G$40+G$56+G$59+G$64+G$77+G$80+G61</f>
        <v>0</v>
      </c>
      <c r="I200" s="318">
        <f>G$21+G$25+G$42+G$45+G$48+G$51+G$53+G$67+G$69+G$72+G$74+G$83+G$86+G$88+G90+G$93+G$95+G$100+G$103+G$106+G$109+G$111+G97+G127</f>
        <v>0</v>
      </c>
      <c r="J200" s="173"/>
      <c r="K200" s="319"/>
      <c r="L200" s="322"/>
      <c r="M200" s="322"/>
      <c r="N200" s="322"/>
      <c r="O200" s="323"/>
      <c r="P200" s="322"/>
      <c r="Q200" s="322"/>
      <c r="R200" s="32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73"/>
    </row>
    <row r="201" spans="1:30" s="174" customFormat="1" ht="12.45" customHeight="1" x14ac:dyDescent="0.25">
      <c r="A201" s="92"/>
      <c r="B201" s="535" t="s">
        <v>9</v>
      </c>
      <c r="C201" s="536"/>
      <c r="D201" s="537"/>
      <c r="E201" s="324">
        <f>'7990NTP-NP'!E60-E209-E217</f>
        <v>0</v>
      </c>
      <c r="F201" s="325">
        <f t="shared" si="0"/>
        <v>0</v>
      </c>
      <c r="G201" s="317">
        <f>K$18+K$23+K$27+K$30+K$33+K$36+K$39+K$44+K$47+K$50+K$55+K$58+K$63+K$66+K$71+K$76+K$79+K$82+K$85+K$92+K$99+K$102+K$105+K$108</f>
        <v>0</v>
      </c>
      <c r="H201" s="503">
        <f>K$19+K$28+K$31+K$34+K$37+K$40+K$56+K$59+K$64+K$77+K$80+K61</f>
        <v>0</v>
      </c>
      <c r="I201" s="318">
        <f>K$21+K$25+K$42+K$45+K$48+K$51+K$53+K$67+K$69+K$72+K$74+K$83+K$86+K88+K$93+K90+K$95+K$100+K$103+K$106+K$109+K$111+K97+K127</f>
        <v>0</v>
      </c>
      <c r="J201" s="173"/>
      <c r="K201" s="173"/>
      <c r="L201" s="326"/>
      <c r="M201" s="326"/>
      <c r="N201" s="326"/>
      <c r="O201" s="301"/>
      <c r="P201" s="322"/>
      <c r="Q201" s="322"/>
      <c r="R201" s="322"/>
      <c r="S201" s="152"/>
      <c r="T201" s="152"/>
      <c r="U201" s="152"/>
      <c r="V201" s="152"/>
      <c r="W201" s="152"/>
      <c r="X201" s="152"/>
      <c r="Y201" s="152"/>
      <c r="Z201" s="152"/>
      <c r="AA201" s="152"/>
      <c r="AB201" s="152"/>
      <c r="AC201" s="152"/>
      <c r="AD201" s="173"/>
    </row>
    <row r="202" spans="1:30" s="174" customFormat="1" ht="12.45" customHeight="1" x14ac:dyDescent="0.25">
      <c r="A202" s="92"/>
      <c r="B202" s="538" t="s">
        <v>239</v>
      </c>
      <c r="C202" s="539"/>
      <c r="D202" s="540"/>
      <c r="E202" s="324">
        <f>'7990NTP-NP'!E61-E210-E218</f>
        <v>0</v>
      </c>
      <c r="F202" s="325">
        <f t="shared" si="0"/>
        <v>0</v>
      </c>
      <c r="G202" s="317">
        <f>O$18+O$23+O$27+O$30+O$33+O$36+O$39+O$44+O$47+O$50+O$55+O$58+O$63+O$66+O$71+O$76+O$79+O$82+O$85+O$92+O$99+O$102+O$105+O$108</f>
        <v>0</v>
      </c>
      <c r="H202" s="503">
        <f>O19+O21+O25+O28+O31+O34+O37+O40+O42+O45+O48+O51+O53+O56+O59+O61+O64+O67+O69+O72+O74+O77+O80+O83+O86+O88+O90+O93+O95+O97+O100+O103+O106+O109+O111+O127</f>
        <v>0</v>
      </c>
      <c r="I202" s="318">
        <v>0</v>
      </c>
      <c r="J202" s="173"/>
      <c r="K202" s="173"/>
      <c r="L202" s="326"/>
      <c r="M202" s="326"/>
      <c r="N202" s="326"/>
      <c r="O202" s="301"/>
      <c r="P202" s="322"/>
      <c r="Q202" s="322"/>
      <c r="R202" s="322"/>
      <c r="S202" s="152"/>
      <c r="T202" s="152"/>
      <c r="U202" s="152"/>
      <c r="V202" s="152"/>
      <c r="W202" s="152"/>
      <c r="X202" s="152"/>
      <c r="Y202" s="152"/>
      <c r="Z202" s="152"/>
      <c r="AA202" s="152"/>
      <c r="AB202" s="152"/>
      <c r="AC202" s="152"/>
      <c r="AD202" s="173"/>
    </row>
    <row r="203" spans="1:30" s="174" customFormat="1" ht="12.45" customHeight="1" x14ac:dyDescent="0.25">
      <c r="A203" s="92"/>
      <c r="B203" s="538" t="s">
        <v>244</v>
      </c>
      <c r="C203" s="539"/>
      <c r="D203" s="540"/>
      <c r="E203" s="324">
        <f>'7990NTP-NP'!E62-E211-E219</f>
        <v>0</v>
      </c>
      <c r="F203" s="325">
        <f t="shared" si="0"/>
        <v>0</v>
      </c>
      <c r="G203" s="317">
        <f>S$18+S$23+S$27+S$30+S$33+S$36+S$39+S$44+S$47+S$50+S$55+S$58+S$63+S$66+S$71+S$76+S$79+S$82+S$85+S$92+S$99+S$102+S$105+S$108</f>
        <v>0</v>
      </c>
      <c r="H203" s="503">
        <f>S19+S21+S25+S28+S31+S34+S37+S40+S42+S45+S48+S51+S53+S56+S59+S61+S64+S67+S69+S72+S74+S77+S80+S83+S86+S88+S90+S93+S95+S97+S100+S103+S106+S109+S111+S127</f>
        <v>0</v>
      </c>
      <c r="I203" s="318">
        <v>0</v>
      </c>
      <c r="J203" s="173"/>
      <c r="K203" s="173"/>
      <c r="L203" s="326"/>
      <c r="M203" s="326"/>
      <c r="N203" s="326"/>
      <c r="O203" s="301"/>
      <c r="P203" s="322"/>
      <c r="Q203" s="322"/>
      <c r="R203" s="322"/>
      <c r="S203" s="152"/>
      <c r="T203" s="152"/>
      <c r="U203" s="152"/>
      <c r="V203" s="152"/>
      <c r="W203" s="152"/>
      <c r="X203" s="152"/>
      <c r="Y203" s="152"/>
      <c r="Z203" s="152"/>
      <c r="AA203" s="152"/>
      <c r="AB203" s="152"/>
      <c r="AC203" s="152"/>
      <c r="AD203" s="173"/>
    </row>
    <row r="204" spans="1:30" s="174" customFormat="1" ht="12.45" customHeight="1" x14ac:dyDescent="0.25">
      <c r="A204" s="92"/>
      <c r="B204" s="538" t="s">
        <v>240</v>
      </c>
      <c r="C204" s="539"/>
      <c r="D204" s="540"/>
      <c r="E204" s="324">
        <f>'7990NTP-NP'!E63-E212-E220</f>
        <v>0</v>
      </c>
      <c r="F204" s="325">
        <f t="shared" si="0"/>
        <v>0</v>
      </c>
      <c r="G204" s="317">
        <f>W$18+W$23+W$27+W$30+W$33+W$36+W$39+W$44+W$47+W$50+W$55+W$58+W$63+W$66+W$71+W$76+W$79+W$82+W$85+W$92+W$99+W$102+W$105+W$108</f>
        <v>0</v>
      </c>
      <c r="H204" s="503">
        <f>W19+W21+W25+W28+W31+W34+W37+W40+W42+W45+W48+W51+W53+W56+W59+W61+W64+W67+W69+W72+W74+W77+W80+W83+W86+W88+W90+W93+W95+W97+W100+W103+W106+W109+W111+W127</f>
        <v>0</v>
      </c>
      <c r="I204" s="318">
        <v>0</v>
      </c>
      <c r="J204" s="173"/>
      <c r="K204" s="173"/>
      <c r="L204" s="326"/>
      <c r="M204" s="326"/>
      <c r="N204" s="326"/>
      <c r="O204" s="301"/>
      <c r="P204" s="322"/>
      <c r="Q204" s="322"/>
      <c r="R204" s="322"/>
      <c r="S204" s="152"/>
      <c r="T204" s="152"/>
      <c r="U204" s="152"/>
      <c r="V204" s="152"/>
      <c r="W204" s="152"/>
      <c r="X204" s="152"/>
      <c r="Y204" s="152"/>
      <c r="Z204" s="152"/>
      <c r="AA204" s="152"/>
      <c r="AB204" s="152"/>
      <c r="AC204" s="152"/>
      <c r="AD204" s="173"/>
    </row>
    <row r="205" spans="1:30" s="174" customFormat="1" ht="12.45" customHeight="1" x14ac:dyDescent="0.25">
      <c r="A205" s="92"/>
      <c r="B205" s="538" t="s">
        <v>241</v>
      </c>
      <c r="C205" s="539"/>
      <c r="D205" s="540"/>
      <c r="E205" s="324">
        <f>'7990NTP-NP'!E64-E213-E221</f>
        <v>0</v>
      </c>
      <c r="F205" s="325">
        <f t="shared" si="0"/>
        <v>0</v>
      </c>
      <c r="G205" s="317">
        <f>AA$18+AA$23++AA$27+AA$30+AA$33+AA$36+AA$39+AA$44+AA$47+AA$50+AA$55+AA$58+AA$63+AA$66+AA$71+AA$76+AA$79+AA$82+AA$85+AA$92+AA$99+AA$102+AA$105+AA$108</f>
        <v>0</v>
      </c>
      <c r="H205" s="504">
        <f>AA19+AA21+AA25+AA28+AA31+AA34+AA37+AA40+AA42+AA45+AA48+AA51+AA53+AA56+AA59+AA61+AA64+AA67+AA69+AA72+AA74+AA77+AA80+AA83+AA86+AA88+AA90+AA93+AA95+AA97+AA100+AA103+AA106+AA109+AA111+AA127</f>
        <v>0</v>
      </c>
      <c r="I205" s="318">
        <v>0</v>
      </c>
      <c r="J205" s="173"/>
      <c r="K205" s="173"/>
      <c r="L205" s="322"/>
      <c r="M205" s="322"/>
      <c r="N205" s="322"/>
      <c r="O205" s="323"/>
      <c r="P205" s="322"/>
      <c r="Q205" s="322"/>
      <c r="R205" s="322"/>
      <c r="S205" s="152"/>
      <c r="T205" s="152"/>
      <c r="U205" s="152"/>
      <c r="V205" s="152"/>
      <c r="W205" s="152"/>
      <c r="X205" s="152"/>
      <c r="Y205" s="152"/>
      <c r="Z205" s="152"/>
      <c r="AA205" s="152"/>
      <c r="AB205" s="152"/>
      <c r="AC205" s="152"/>
      <c r="AD205" s="173"/>
    </row>
    <row r="206" spans="1:30" s="174" customFormat="1" ht="16.5" customHeight="1" thickBot="1" x14ac:dyDescent="0.35">
      <c r="A206" s="92"/>
      <c r="B206" s="541" t="s">
        <v>77</v>
      </c>
      <c r="C206" s="542"/>
      <c r="D206" s="543"/>
      <c r="E206" s="327"/>
      <c r="F206" s="328"/>
      <c r="G206" s="329"/>
      <c r="H206" s="328"/>
      <c r="I206" s="330"/>
      <c r="J206" s="173"/>
      <c r="K206" s="173"/>
      <c r="L206" s="331"/>
      <c r="M206" s="331"/>
      <c r="N206" s="331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  <c r="AA206" s="152"/>
      <c r="AB206" s="152"/>
      <c r="AC206" s="152"/>
      <c r="AD206" s="173"/>
    </row>
    <row r="207" spans="1:30" s="174" customFormat="1" ht="12.45" customHeight="1" x14ac:dyDescent="0.25">
      <c r="A207" s="92"/>
      <c r="B207" s="535" t="s">
        <v>7</v>
      </c>
      <c r="C207" s="536"/>
      <c r="D207" s="537"/>
      <c r="E207" s="315">
        <f>'7990NTP-NP'!C58</f>
        <v>0</v>
      </c>
      <c r="F207" s="332">
        <f>+C180</f>
        <v>0</v>
      </c>
      <c r="G207" s="333"/>
      <c r="H207" s="334">
        <f t="shared" ref="H207:H213" si="1">F207</f>
        <v>0</v>
      </c>
      <c r="I207" s="333"/>
      <c r="J207" s="173"/>
      <c r="K207" s="173"/>
      <c r="L207" s="331"/>
      <c r="M207" s="331"/>
      <c r="N207" s="331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  <c r="AA207" s="152"/>
      <c r="AB207" s="152"/>
      <c r="AC207" s="152"/>
      <c r="AD207" s="173"/>
    </row>
    <row r="208" spans="1:30" s="174" customFormat="1" ht="12.45" customHeight="1" x14ac:dyDescent="0.25">
      <c r="A208" s="92"/>
      <c r="B208" s="535" t="s">
        <v>8</v>
      </c>
      <c r="C208" s="536"/>
      <c r="D208" s="537"/>
      <c r="E208" s="320">
        <f>'7990NTP-NP'!C59</f>
        <v>0</v>
      </c>
      <c r="F208" s="235">
        <f>+G180</f>
        <v>0</v>
      </c>
      <c r="G208" s="333"/>
      <c r="H208" s="335">
        <f t="shared" si="1"/>
        <v>0</v>
      </c>
      <c r="I208" s="333"/>
      <c r="J208" s="173"/>
      <c r="K208" s="301"/>
      <c r="L208" s="169"/>
      <c r="M208" s="92"/>
      <c r="N208" s="92"/>
      <c r="O208" s="152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  <c r="AA208" s="152"/>
      <c r="AB208" s="152"/>
      <c r="AC208" s="152"/>
      <c r="AD208" s="173"/>
    </row>
    <row r="209" spans="1:30" s="174" customFormat="1" ht="12.45" customHeight="1" x14ac:dyDescent="0.25">
      <c r="A209" s="92"/>
      <c r="B209" s="535" t="s">
        <v>9</v>
      </c>
      <c r="C209" s="536"/>
      <c r="D209" s="536"/>
      <c r="E209" s="324">
        <f>'7990NTP-NP'!C60</f>
        <v>0</v>
      </c>
      <c r="F209" s="235">
        <f>+K180</f>
        <v>0</v>
      </c>
      <c r="G209" s="333"/>
      <c r="H209" s="335">
        <f t="shared" si="1"/>
        <v>0</v>
      </c>
      <c r="I209" s="333"/>
      <c r="J209" s="173"/>
      <c r="K209" s="301"/>
      <c r="L209" s="169"/>
      <c r="M209" s="92"/>
      <c r="N209" s="9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2"/>
      <c r="AC209" s="152"/>
      <c r="AD209" s="173"/>
    </row>
    <row r="210" spans="1:30" s="174" customFormat="1" ht="12.45" customHeight="1" x14ac:dyDescent="0.25">
      <c r="A210" s="92"/>
      <c r="B210" s="538" t="s">
        <v>239</v>
      </c>
      <c r="C210" s="539"/>
      <c r="D210" s="539"/>
      <c r="E210" s="324">
        <f>'7990NTP-NP'!C61</f>
        <v>0</v>
      </c>
      <c r="F210" s="336">
        <f>+O180</f>
        <v>0</v>
      </c>
      <c r="G210" s="337"/>
      <c r="H210" s="336">
        <f t="shared" si="1"/>
        <v>0</v>
      </c>
      <c r="I210" s="333"/>
      <c r="J210" s="173"/>
      <c r="K210" s="301"/>
      <c r="L210" s="169"/>
      <c r="M210" s="92"/>
      <c r="N210" s="9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  <c r="AA210" s="152"/>
      <c r="AB210" s="152"/>
      <c r="AC210" s="152"/>
      <c r="AD210" s="173"/>
    </row>
    <row r="211" spans="1:30" s="174" customFormat="1" ht="12.45" customHeight="1" x14ac:dyDescent="0.25">
      <c r="A211" s="92"/>
      <c r="B211" s="538" t="s">
        <v>244</v>
      </c>
      <c r="C211" s="539"/>
      <c r="D211" s="539"/>
      <c r="E211" s="324">
        <f>'7990NTP-NP'!C62</f>
        <v>0</v>
      </c>
      <c r="F211" s="336">
        <f>+S180</f>
        <v>0</v>
      </c>
      <c r="G211" s="337"/>
      <c r="H211" s="336">
        <f t="shared" si="1"/>
        <v>0</v>
      </c>
      <c r="I211" s="333"/>
      <c r="J211" s="173"/>
      <c r="K211" s="301"/>
      <c r="L211" s="169"/>
      <c r="M211" s="92"/>
      <c r="N211" s="9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  <c r="AA211" s="152"/>
      <c r="AB211" s="152"/>
      <c r="AC211" s="152"/>
      <c r="AD211" s="173"/>
    </row>
    <row r="212" spans="1:30" s="174" customFormat="1" ht="12.45" customHeight="1" x14ac:dyDescent="0.25">
      <c r="A212" s="92"/>
      <c r="B212" s="538" t="s">
        <v>240</v>
      </c>
      <c r="C212" s="539"/>
      <c r="D212" s="539"/>
      <c r="E212" s="324">
        <f>'7990NTP-NP'!C63</f>
        <v>0</v>
      </c>
      <c r="F212" s="336">
        <f>+W180</f>
        <v>0</v>
      </c>
      <c r="G212" s="337"/>
      <c r="H212" s="336">
        <f t="shared" si="1"/>
        <v>0</v>
      </c>
      <c r="I212" s="333"/>
      <c r="J212" s="173"/>
      <c r="K212" s="301"/>
      <c r="L212" s="169"/>
      <c r="M212" s="92"/>
      <c r="N212" s="9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73"/>
    </row>
    <row r="213" spans="1:30" s="174" customFormat="1" ht="12.45" customHeight="1" thickBot="1" x14ac:dyDescent="0.3">
      <c r="A213" s="92"/>
      <c r="B213" s="538" t="s">
        <v>241</v>
      </c>
      <c r="C213" s="539"/>
      <c r="D213" s="539"/>
      <c r="E213" s="324">
        <f>'7990NTP-NP'!C64</f>
        <v>0</v>
      </c>
      <c r="F213" s="336">
        <f>+AA180</f>
        <v>0</v>
      </c>
      <c r="G213" s="337"/>
      <c r="H213" s="336">
        <f t="shared" si="1"/>
        <v>0</v>
      </c>
      <c r="I213" s="333"/>
      <c r="J213" s="173"/>
      <c r="K213" s="301"/>
      <c r="L213" s="169"/>
      <c r="M213" s="92"/>
      <c r="N213" s="9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2"/>
      <c r="AC213" s="152"/>
      <c r="AD213" s="173"/>
    </row>
    <row r="214" spans="1:30" s="174" customFormat="1" ht="16.5" customHeight="1" thickBot="1" x14ac:dyDescent="0.35">
      <c r="A214" s="92"/>
      <c r="B214" s="541" t="s">
        <v>78</v>
      </c>
      <c r="C214" s="542"/>
      <c r="D214" s="542"/>
      <c r="E214" s="338"/>
      <c r="F214" s="328"/>
      <c r="G214" s="312"/>
      <c r="H214" s="328"/>
      <c r="I214" s="339"/>
      <c r="J214" s="173"/>
      <c r="K214" s="301"/>
      <c r="L214" s="331"/>
      <c r="M214" s="331"/>
      <c r="N214" s="331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  <c r="AA214" s="152"/>
      <c r="AB214" s="152"/>
      <c r="AC214" s="152"/>
      <c r="AD214" s="173"/>
    </row>
    <row r="215" spans="1:30" s="174" customFormat="1" ht="12.45" customHeight="1" x14ac:dyDescent="0.25">
      <c r="A215" s="92"/>
      <c r="B215" s="535" t="s">
        <v>7</v>
      </c>
      <c r="C215" s="536"/>
      <c r="D215" s="536"/>
      <c r="E215" s="315">
        <f>'7990NTP-NP'!D58</f>
        <v>0</v>
      </c>
      <c r="F215" s="340">
        <f t="shared" ref="F215:F221" si="2">G215+H215</f>
        <v>0</v>
      </c>
      <c r="G215" s="235">
        <f>C189+C187</f>
        <v>0</v>
      </c>
      <c r="H215" s="341">
        <f>C186+C190+C188</f>
        <v>0</v>
      </c>
      <c r="I215" s="333"/>
      <c r="J215" s="173"/>
      <c r="K215" s="301"/>
      <c r="L215" s="342"/>
      <c r="M215" s="342"/>
      <c r="N215" s="34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  <c r="Z215" s="152"/>
      <c r="AA215" s="152"/>
      <c r="AB215" s="152"/>
      <c r="AC215" s="152"/>
      <c r="AD215" s="173"/>
    </row>
    <row r="216" spans="1:30" s="174" customFormat="1" ht="12.45" customHeight="1" x14ac:dyDescent="0.25">
      <c r="A216" s="92"/>
      <c r="B216" s="535" t="s">
        <v>8</v>
      </c>
      <c r="C216" s="536"/>
      <c r="D216" s="536"/>
      <c r="E216" s="324">
        <f>'7990NTP-NP'!D59</f>
        <v>0</v>
      </c>
      <c r="F216" s="235">
        <f t="shared" si="2"/>
        <v>0</v>
      </c>
      <c r="G216" s="235">
        <f>G189+G187</f>
        <v>0</v>
      </c>
      <c r="H216" s="321">
        <f>G186+G190+G188</f>
        <v>0</v>
      </c>
      <c r="I216" s="333"/>
      <c r="J216" s="173"/>
      <c r="K216" s="301"/>
      <c r="L216" s="342"/>
      <c r="M216" s="342"/>
      <c r="N216" s="34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  <c r="AA216" s="152"/>
      <c r="AB216" s="152"/>
      <c r="AC216" s="152"/>
      <c r="AD216" s="173"/>
    </row>
    <row r="217" spans="1:30" s="174" customFormat="1" ht="12.45" customHeight="1" x14ac:dyDescent="0.25">
      <c r="A217" s="92"/>
      <c r="B217" s="535" t="s">
        <v>9</v>
      </c>
      <c r="C217" s="536"/>
      <c r="D217" s="536"/>
      <c r="E217" s="324">
        <f>'7990NTP-NP'!D60</f>
        <v>0</v>
      </c>
      <c r="F217" s="235">
        <f t="shared" si="2"/>
        <v>0</v>
      </c>
      <c r="G217" s="235">
        <f>K189+K187</f>
        <v>0</v>
      </c>
      <c r="H217" s="321">
        <f>K186+K190+K188</f>
        <v>0</v>
      </c>
      <c r="I217" s="333"/>
      <c r="J217" s="173"/>
      <c r="K217" s="301"/>
      <c r="L217" s="342"/>
      <c r="M217" s="342"/>
      <c r="N217" s="34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  <c r="AA217" s="152"/>
      <c r="AB217" s="152"/>
      <c r="AC217" s="152"/>
      <c r="AD217" s="173"/>
    </row>
    <row r="218" spans="1:30" s="174" customFormat="1" ht="12.45" customHeight="1" x14ac:dyDescent="0.25">
      <c r="A218" s="92"/>
      <c r="B218" s="538" t="s">
        <v>239</v>
      </c>
      <c r="C218" s="539"/>
      <c r="D218" s="539"/>
      <c r="E218" s="324">
        <f>'7990NTP-NP'!D61</f>
        <v>0</v>
      </c>
      <c r="F218" s="235">
        <f t="shared" si="2"/>
        <v>0</v>
      </c>
      <c r="G218" s="235">
        <f>O189+O187</f>
        <v>0</v>
      </c>
      <c r="H218" s="336">
        <f>O186+O190+O188</f>
        <v>0</v>
      </c>
      <c r="I218" s="333"/>
      <c r="J218" s="173"/>
      <c r="K218" s="301"/>
      <c r="L218" s="342"/>
      <c r="M218" s="342"/>
      <c r="N218" s="34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  <c r="AA218" s="152"/>
      <c r="AB218" s="152"/>
      <c r="AC218" s="152"/>
      <c r="AD218" s="173"/>
    </row>
    <row r="219" spans="1:30" s="174" customFormat="1" ht="12.45" customHeight="1" x14ac:dyDescent="0.25">
      <c r="A219" s="92"/>
      <c r="B219" s="538" t="s">
        <v>244</v>
      </c>
      <c r="C219" s="539"/>
      <c r="D219" s="539"/>
      <c r="E219" s="324">
        <f>'7990NTP-NP'!D62</f>
        <v>0</v>
      </c>
      <c r="F219" s="235">
        <f t="shared" si="2"/>
        <v>0</v>
      </c>
      <c r="G219" s="235">
        <f>S189+S187</f>
        <v>0</v>
      </c>
      <c r="H219" s="336">
        <f>S186+S190+S188</f>
        <v>0</v>
      </c>
      <c r="I219" s="333"/>
      <c r="J219" s="173"/>
      <c r="K219" s="301"/>
      <c r="L219" s="342"/>
      <c r="M219" s="342"/>
      <c r="N219" s="34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  <c r="AA219" s="152"/>
      <c r="AB219" s="152"/>
      <c r="AC219" s="152"/>
      <c r="AD219" s="173"/>
    </row>
    <row r="220" spans="1:30" s="174" customFormat="1" ht="12.45" customHeight="1" x14ac:dyDescent="0.25">
      <c r="A220" s="92"/>
      <c r="B220" s="538" t="s">
        <v>240</v>
      </c>
      <c r="C220" s="539"/>
      <c r="D220" s="539"/>
      <c r="E220" s="324">
        <f>'7990NTP-NP'!D63</f>
        <v>0</v>
      </c>
      <c r="F220" s="235">
        <f t="shared" si="2"/>
        <v>0</v>
      </c>
      <c r="G220" s="235">
        <f>W189+W187</f>
        <v>0</v>
      </c>
      <c r="H220" s="336">
        <f>W186+W190+W188</f>
        <v>0</v>
      </c>
      <c r="I220" s="333"/>
      <c r="J220" s="173"/>
      <c r="K220" s="301"/>
      <c r="L220" s="342"/>
      <c r="M220" s="342"/>
      <c r="N220" s="342"/>
      <c r="O220" s="152"/>
      <c r="P220" s="152"/>
      <c r="Q220" s="152"/>
      <c r="R220" s="152"/>
      <c r="S220" s="152"/>
      <c r="T220" s="152"/>
      <c r="U220" s="152"/>
      <c r="V220" s="152"/>
      <c r="W220" s="152"/>
      <c r="X220" s="152"/>
      <c r="Y220" s="152"/>
      <c r="Z220" s="152"/>
      <c r="AA220" s="152"/>
      <c r="AB220" s="152"/>
      <c r="AC220" s="152"/>
      <c r="AD220" s="173"/>
    </row>
    <row r="221" spans="1:30" s="174" customFormat="1" ht="12.45" customHeight="1" thickBot="1" x14ac:dyDescent="0.3">
      <c r="A221" s="92"/>
      <c r="B221" s="544" t="s">
        <v>241</v>
      </c>
      <c r="C221" s="545"/>
      <c r="D221" s="545"/>
      <c r="E221" s="324">
        <f>'7990NTP-NP'!D64</f>
        <v>0</v>
      </c>
      <c r="F221" s="343">
        <f t="shared" si="2"/>
        <v>0</v>
      </c>
      <c r="G221" s="343">
        <f>AA189+AA187</f>
        <v>0</v>
      </c>
      <c r="H221" s="336">
        <f>AA186+AA190+AA188</f>
        <v>0</v>
      </c>
      <c r="I221" s="333"/>
      <c r="J221" s="173"/>
      <c r="K221" s="301"/>
      <c r="L221" s="342"/>
      <c r="M221" s="342"/>
      <c r="N221" s="342"/>
      <c r="O221" s="152"/>
      <c r="P221" s="152"/>
      <c r="Q221" s="152"/>
      <c r="R221" s="152"/>
      <c r="S221" s="152"/>
      <c r="T221" s="152"/>
      <c r="U221" s="152"/>
      <c r="V221" s="152"/>
      <c r="W221" s="152"/>
      <c r="X221" s="152"/>
      <c r="Y221" s="152"/>
      <c r="Z221" s="152"/>
      <c r="AA221" s="152"/>
      <c r="AB221" s="152"/>
      <c r="AC221" s="152"/>
      <c r="AD221" s="173"/>
    </row>
    <row r="222" spans="1:30" s="174" customFormat="1" ht="12.45" customHeight="1" thickBot="1" x14ac:dyDescent="0.3">
      <c r="A222" s="92"/>
      <c r="B222" s="546" t="s">
        <v>94</v>
      </c>
      <c r="C222" s="547"/>
      <c r="D222" s="548"/>
      <c r="E222" s="344"/>
      <c r="F222" s="345">
        <f>C174</f>
        <v>0</v>
      </c>
      <c r="G222" s="346"/>
      <c r="H222" s="346"/>
      <c r="I222" s="347"/>
      <c r="J222" s="173"/>
      <c r="K222" s="301"/>
      <c r="L222" s="169"/>
      <c r="M222" s="169"/>
      <c r="N222" s="169"/>
      <c r="O222" s="152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  <c r="Z222" s="152"/>
      <c r="AA222" s="152"/>
      <c r="AB222" s="152"/>
      <c r="AC222" s="152"/>
      <c r="AD222" s="173"/>
    </row>
    <row r="223" spans="1:30" s="174" customFormat="1" ht="16.5" customHeight="1" thickBot="1" x14ac:dyDescent="0.35">
      <c r="A223" s="92"/>
      <c r="B223" s="549" t="s">
        <v>13</v>
      </c>
      <c r="C223" s="550"/>
      <c r="D223" s="551"/>
      <c r="E223" s="348"/>
      <c r="F223" s="349">
        <f>SUM(F199:F205,F207:F213,F215:F221)</f>
        <v>0</v>
      </c>
      <c r="G223" s="350">
        <f>SUM(G199:G205,G215:G221)</f>
        <v>0</v>
      </c>
      <c r="H223" s="351">
        <f>SUM(H199:H205,H207:H213,H215:H221)</f>
        <v>0</v>
      </c>
      <c r="I223" s="352">
        <f>SUM(I199:I205)</f>
        <v>0</v>
      </c>
      <c r="J223" s="173"/>
      <c r="K223" s="301"/>
      <c r="L223" s="169"/>
      <c r="M223" s="92"/>
      <c r="N223" s="9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  <c r="AA223" s="152"/>
      <c r="AB223" s="152"/>
      <c r="AC223" s="152"/>
      <c r="AD223" s="173"/>
    </row>
    <row r="224" spans="1:30" s="174" customFormat="1" ht="16.5" customHeight="1" thickBot="1" x14ac:dyDescent="0.3">
      <c r="A224" s="92"/>
      <c r="B224" s="552" t="s">
        <v>72</v>
      </c>
      <c r="C224" s="553"/>
      <c r="D224" s="554"/>
      <c r="E224" s="348"/>
      <c r="F224" s="353"/>
      <c r="G224" s="354">
        <f>F224*0.5</f>
        <v>0</v>
      </c>
      <c r="H224" s="355">
        <f>F224*0.5</f>
        <v>0</v>
      </c>
      <c r="I224" s="356"/>
      <c r="J224" s="173"/>
      <c r="K224" s="301"/>
      <c r="L224" s="169"/>
      <c r="M224" s="92"/>
      <c r="N224" s="92"/>
      <c r="O224" s="152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  <c r="Z224" s="152"/>
      <c r="AA224" s="152"/>
      <c r="AB224" s="152"/>
      <c r="AC224" s="152"/>
      <c r="AD224" s="173"/>
    </row>
    <row r="225" spans="1:30" s="174" customFormat="1" ht="16.5" customHeight="1" thickBot="1" x14ac:dyDescent="0.3">
      <c r="A225" s="92"/>
      <c r="B225" s="552" t="s">
        <v>73</v>
      </c>
      <c r="C225" s="553"/>
      <c r="D225" s="554"/>
      <c r="E225" s="348"/>
      <c r="F225" s="357"/>
      <c r="G225" s="356"/>
      <c r="H225" s="358">
        <f>F225</f>
        <v>0</v>
      </c>
      <c r="I225" s="359"/>
      <c r="J225" s="173"/>
      <c r="K225" s="173"/>
      <c r="L225" s="92"/>
      <c r="M225" s="92"/>
      <c r="N225" s="9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  <c r="AA225" s="152"/>
      <c r="AB225" s="152"/>
      <c r="AC225" s="152"/>
      <c r="AD225" s="173"/>
    </row>
    <row r="226" spans="1:30" s="174" customFormat="1" ht="16.5" customHeight="1" thickBot="1" x14ac:dyDescent="0.3">
      <c r="A226" s="92"/>
      <c r="B226" s="552" t="s">
        <v>74</v>
      </c>
      <c r="C226" s="553"/>
      <c r="D226" s="554"/>
      <c r="E226" s="348"/>
      <c r="F226" s="357"/>
      <c r="G226" s="347"/>
      <c r="H226" s="358">
        <f>F226</f>
        <v>0</v>
      </c>
      <c r="I226" s="359"/>
      <c r="J226" s="173"/>
      <c r="K226" s="173"/>
      <c r="L226" s="92"/>
      <c r="M226" s="92"/>
      <c r="N226" s="92"/>
      <c r="O226" s="152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  <c r="Z226" s="152"/>
      <c r="AA226" s="152"/>
      <c r="AB226" s="152"/>
      <c r="AC226" s="152"/>
      <c r="AD226" s="173"/>
    </row>
    <row r="227" spans="1:30" s="174" customFormat="1" ht="16.5" customHeight="1" thickBot="1" x14ac:dyDescent="0.3">
      <c r="A227" s="92"/>
      <c r="B227" s="552" t="s">
        <v>71</v>
      </c>
      <c r="C227" s="553"/>
      <c r="D227" s="554"/>
      <c r="E227" s="348"/>
      <c r="F227" s="357"/>
      <c r="G227" s="360">
        <f>F227*0.5</f>
        <v>0</v>
      </c>
      <c r="H227" s="358">
        <f>F227*0.5</f>
        <v>0</v>
      </c>
      <c r="I227" s="359"/>
      <c r="J227" s="173"/>
      <c r="K227" s="173"/>
      <c r="L227" s="92"/>
      <c r="M227" s="92"/>
      <c r="N227" s="9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  <c r="AA227" s="152"/>
      <c r="AB227" s="152"/>
      <c r="AC227" s="152"/>
      <c r="AD227" s="173"/>
    </row>
    <row r="228" spans="1:30" s="174" customFormat="1" ht="16.5" customHeight="1" thickBot="1" x14ac:dyDescent="0.3">
      <c r="A228" s="92"/>
      <c r="B228" s="552" t="s">
        <v>75</v>
      </c>
      <c r="C228" s="553"/>
      <c r="D228" s="554"/>
      <c r="E228" s="348"/>
      <c r="F228" s="357"/>
      <c r="G228" s="356"/>
      <c r="H228" s="358">
        <f>F228</f>
        <v>0</v>
      </c>
      <c r="I228" s="359"/>
      <c r="J228" s="173"/>
      <c r="K228" s="173"/>
      <c r="L228" s="92"/>
      <c r="M228" s="92"/>
      <c r="N228" s="9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2"/>
      <c r="AD228" s="173"/>
    </row>
    <row r="229" spans="1:30" s="174" customFormat="1" ht="16.5" customHeight="1" thickBot="1" x14ac:dyDescent="0.3">
      <c r="A229" s="92"/>
      <c r="B229" s="552" t="s">
        <v>76</v>
      </c>
      <c r="C229" s="553"/>
      <c r="D229" s="554"/>
      <c r="E229" s="348"/>
      <c r="F229" s="361"/>
      <c r="G229" s="347"/>
      <c r="H229" s="336">
        <f>F229</f>
        <v>0</v>
      </c>
      <c r="I229" s="347"/>
      <c r="J229" s="173"/>
      <c r="K229" s="173"/>
      <c r="L229" s="92"/>
      <c r="M229" s="92"/>
      <c r="N229" s="9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  <c r="AA229" s="152"/>
      <c r="AB229" s="152"/>
      <c r="AC229" s="152"/>
      <c r="AD229" s="173"/>
    </row>
    <row r="230" spans="1:30" s="174" customFormat="1" ht="19.05" customHeight="1" thickBot="1" x14ac:dyDescent="0.35">
      <c r="A230" s="92"/>
      <c r="B230" s="549" t="s">
        <v>23</v>
      </c>
      <c r="C230" s="550"/>
      <c r="D230" s="551"/>
      <c r="E230" s="362"/>
      <c r="F230" s="363">
        <f>IF(F223&gt;SUM(F224+F227),F223-F224-F225-F226-F227-F228-F229,0)</f>
        <v>0</v>
      </c>
      <c r="G230" s="364">
        <f>G223-G224-G227</f>
        <v>0</v>
      </c>
      <c r="H230" s="365">
        <f>H223-H224-H225-H226-H227-H228-H229</f>
        <v>0</v>
      </c>
      <c r="I230" s="366">
        <f>I223</f>
        <v>0</v>
      </c>
      <c r="J230" s="173"/>
      <c r="K230" s="173"/>
      <c r="L230" s="367"/>
      <c r="M230" s="367"/>
      <c r="N230" s="367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  <c r="AA230" s="152"/>
      <c r="AB230" s="152"/>
      <c r="AC230" s="152"/>
      <c r="AD230" s="173"/>
    </row>
    <row r="231" spans="1:30" x14ac:dyDescent="0.25">
      <c r="G231" s="369"/>
      <c r="L231" s="367"/>
      <c r="M231" s="367"/>
      <c r="N231" s="367"/>
    </row>
    <row r="232" spans="1:30" ht="13.8" thickBot="1" x14ac:dyDescent="0.3"/>
    <row r="233" spans="1:30" ht="13.05" customHeight="1" x14ac:dyDescent="0.25">
      <c r="A233" s="370"/>
      <c r="B233" s="561"/>
      <c r="C233" s="562"/>
      <c r="D233" s="371" t="s">
        <v>15</v>
      </c>
    </row>
    <row r="234" spans="1:30" ht="13.05" customHeight="1" x14ac:dyDescent="0.25">
      <c r="A234" s="370"/>
      <c r="B234" s="563" t="s">
        <v>16</v>
      </c>
      <c r="C234" s="564"/>
      <c r="D234" s="372" t="str">
        <f>IF(SUM('7990NTP-NP'!E65-'7990NTP-NP'!D65-'7990NTP-NP'!C65)=SUM(E199:E205),"OKAY","Error")</f>
        <v>OKAY</v>
      </c>
    </row>
    <row r="235" spans="1:30" ht="13.05" customHeight="1" x14ac:dyDescent="0.25">
      <c r="A235" s="370"/>
      <c r="B235" s="563" t="s">
        <v>17</v>
      </c>
      <c r="C235" s="564"/>
      <c r="D235" s="372" t="str">
        <f>IF('7990NTP-NP'!C65=SUM('FL Info'!E207:E213),"OKAY","Error")</f>
        <v>OKAY</v>
      </c>
    </row>
    <row r="236" spans="1:30" ht="13.05" customHeight="1" x14ac:dyDescent="0.25">
      <c r="A236" s="370"/>
      <c r="B236" s="563" t="s">
        <v>45</v>
      </c>
      <c r="C236" s="564"/>
      <c r="D236" s="372" t="str">
        <f>IF('7990NTP-NP'!D65=SUM('FL Info'!E215:E221),"OKAY","Error")</f>
        <v>OKAY</v>
      </c>
    </row>
    <row r="237" spans="1:30" ht="13.05" customHeight="1" x14ac:dyDescent="0.25">
      <c r="A237" s="370"/>
      <c r="B237" s="563" t="s">
        <v>18</v>
      </c>
      <c r="C237" s="564"/>
      <c r="D237" s="373" t="str">
        <f>IF(F223='7990NTP-NP'!H75,"OKAY","Error")</f>
        <v>OKAY</v>
      </c>
    </row>
    <row r="238" spans="1:30" ht="13.05" customHeight="1" thickBot="1" x14ac:dyDescent="0.3">
      <c r="A238" s="370"/>
      <c r="B238" s="565" t="s">
        <v>19</v>
      </c>
      <c r="C238" s="566"/>
      <c r="D238" s="374" t="str">
        <f>IF(F230=F223-SUM(F224:F229),"OKAY","Error")</f>
        <v>OKAY</v>
      </c>
    </row>
    <row r="239" spans="1:30" x14ac:dyDescent="0.25">
      <c r="C239" s="375"/>
    </row>
    <row r="241" spans="2:10" ht="13.8" thickBot="1" x14ac:dyDescent="0.3"/>
    <row r="242" spans="2:10" ht="30" customHeight="1" thickBot="1" x14ac:dyDescent="0.35">
      <c r="B242" s="555" t="s">
        <v>247</v>
      </c>
      <c r="C242" s="556"/>
      <c r="D242" s="557"/>
      <c r="E242" s="376" t="s">
        <v>248</v>
      </c>
      <c r="F242" s="377" t="s">
        <v>249</v>
      </c>
      <c r="H242" s="378"/>
      <c r="I242" s="379"/>
      <c r="J242" s="379"/>
    </row>
    <row r="243" spans="2:10" ht="16.2" hidden="1" thickBot="1" x14ac:dyDescent="0.3">
      <c r="B243" s="380" t="s">
        <v>250</v>
      </c>
      <c r="C243" s="369"/>
      <c r="D243" s="381"/>
      <c r="E243" s="382"/>
      <c r="F243" s="370"/>
      <c r="G243" s="383"/>
      <c r="H243" s="384"/>
      <c r="I243" s="384"/>
      <c r="J243" s="384"/>
    </row>
    <row r="244" spans="2:10" ht="15.6" hidden="1" x14ac:dyDescent="0.3">
      <c r="B244" s="385" t="s">
        <v>251</v>
      </c>
      <c r="C244" s="369"/>
      <c r="D244" s="381"/>
      <c r="E244" s="386"/>
      <c r="F244" s="370"/>
      <c r="G244" s="387"/>
      <c r="H244" s="388"/>
      <c r="I244" s="388"/>
      <c r="J244" s="388"/>
    </row>
    <row r="245" spans="2:10" ht="15.6" hidden="1" x14ac:dyDescent="0.3">
      <c r="B245" s="389" t="s">
        <v>252</v>
      </c>
      <c r="C245" s="369"/>
      <c r="D245" s="381"/>
      <c r="E245" s="390"/>
      <c r="F245" s="370"/>
      <c r="G245" s="391"/>
      <c r="H245" s="388"/>
      <c r="I245" s="388"/>
      <c r="J245" s="388"/>
    </row>
    <row r="246" spans="2:10" ht="15.6" hidden="1" x14ac:dyDescent="0.3">
      <c r="B246" s="389" t="s">
        <v>253</v>
      </c>
      <c r="C246" s="369"/>
      <c r="D246" s="381"/>
      <c r="E246" s="390"/>
      <c r="F246" s="370"/>
      <c r="G246" s="391"/>
      <c r="H246" s="388"/>
      <c r="I246" s="388"/>
      <c r="J246" s="388"/>
    </row>
    <row r="247" spans="2:10" ht="15.6" hidden="1" x14ac:dyDescent="0.3">
      <c r="B247" s="392" t="s">
        <v>254</v>
      </c>
      <c r="C247" s="369"/>
      <c r="D247" s="381"/>
      <c r="E247" s="393"/>
      <c r="F247" s="370"/>
      <c r="G247" s="391"/>
      <c r="H247" s="388"/>
      <c r="I247" s="388"/>
      <c r="J247" s="388"/>
    </row>
    <row r="248" spans="2:10" ht="15.6" hidden="1" x14ac:dyDescent="0.3">
      <c r="B248" s="392" t="s">
        <v>255</v>
      </c>
      <c r="C248" s="369"/>
      <c r="D248" s="381"/>
      <c r="E248" s="394"/>
      <c r="F248" s="370"/>
      <c r="G248" s="391"/>
      <c r="H248" s="388"/>
      <c r="I248" s="388"/>
      <c r="J248" s="388"/>
    </row>
    <row r="249" spans="2:10" ht="15.6" hidden="1" x14ac:dyDescent="0.3">
      <c r="B249" s="392" t="s">
        <v>244</v>
      </c>
      <c r="C249" s="369"/>
      <c r="D249" s="381"/>
      <c r="E249" s="394"/>
      <c r="F249" s="370"/>
      <c r="G249" s="391"/>
      <c r="H249" s="388"/>
      <c r="I249" s="388"/>
      <c r="J249" s="388"/>
    </row>
    <row r="250" spans="2:10" ht="15.6" hidden="1" x14ac:dyDescent="0.3">
      <c r="B250" s="392" t="s">
        <v>240</v>
      </c>
      <c r="C250" s="369"/>
      <c r="D250" s="381"/>
      <c r="E250" s="394"/>
      <c r="F250" s="370"/>
      <c r="G250" s="391"/>
      <c r="H250" s="388"/>
      <c r="I250" s="388"/>
      <c r="J250" s="388"/>
    </row>
    <row r="251" spans="2:10" ht="16.2" hidden="1" thickBot="1" x14ac:dyDescent="0.35">
      <c r="B251" s="392" t="s">
        <v>238</v>
      </c>
      <c r="C251" s="369"/>
      <c r="D251" s="381"/>
      <c r="E251" s="394"/>
      <c r="F251" s="370"/>
      <c r="G251" s="391"/>
      <c r="H251" s="388"/>
      <c r="I251" s="388"/>
      <c r="J251" s="388"/>
    </row>
    <row r="252" spans="2:10" ht="16.2" thickBot="1" x14ac:dyDescent="0.3">
      <c r="B252" s="558" t="s">
        <v>256</v>
      </c>
      <c r="C252" s="559"/>
      <c r="D252" s="559"/>
      <c r="E252" s="559"/>
      <c r="F252" s="560"/>
      <c r="G252" s="395"/>
      <c r="H252" s="395"/>
      <c r="I252" s="396"/>
      <c r="J252" s="396"/>
    </row>
    <row r="253" spans="2:10" ht="31.05" customHeight="1" x14ac:dyDescent="0.3">
      <c r="B253" s="567" t="s">
        <v>257</v>
      </c>
      <c r="C253" s="568"/>
      <c r="D253" s="569"/>
      <c r="E253" s="397">
        <f>+G230</f>
        <v>0</v>
      </c>
      <c r="F253" s="398"/>
      <c r="H253" s="399"/>
      <c r="I253" s="399"/>
      <c r="J253" s="399"/>
    </row>
    <row r="254" spans="2:10" ht="30.45" customHeight="1" x14ac:dyDescent="0.3">
      <c r="B254" s="570" t="s">
        <v>258</v>
      </c>
      <c r="C254" s="571"/>
      <c r="D254" s="572"/>
      <c r="E254" s="400">
        <f>+H230</f>
        <v>0</v>
      </c>
      <c r="F254" s="401"/>
      <c r="H254" s="402"/>
      <c r="I254" s="402"/>
      <c r="J254" s="402"/>
    </row>
    <row r="255" spans="2:10" ht="30.45" customHeight="1" x14ac:dyDescent="0.3">
      <c r="B255" s="570" t="s">
        <v>259</v>
      </c>
      <c r="C255" s="571"/>
      <c r="D255" s="572"/>
      <c r="E255" s="400">
        <f>+I230</f>
        <v>0</v>
      </c>
      <c r="F255" s="401"/>
      <c r="H255" s="388"/>
      <c r="I255" s="388"/>
      <c r="J255" s="388"/>
    </row>
    <row r="256" spans="2:10" ht="17.55" customHeight="1" x14ac:dyDescent="0.3">
      <c r="B256" s="570" t="s">
        <v>357</v>
      </c>
      <c r="C256" s="571"/>
      <c r="D256" s="572"/>
      <c r="E256" s="403">
        <f>SUM(E254:E255)</f>
        <v>0</v>
      </c>
      <c r="F256" s="401"/>
      <c r="H256" s="388"/>
      <c r="I256" s="388"/>
      <c r="J256" s="388"/>
    </row>
    <row r="257" spans="2:10" ht="17.399999999999999" x14ac:dyDescent="0.3">
      <c r="B257" s="573" t="s">
        <v>260</v>
      </c>
      <c r="C257" s="574"/>
      <c r="D257" s="575"/>
      <c r="E257" s="404">
        <f>+F224+F225+F226</f>
        <v>0</v>
      </c>
      <c r="F257" s="405"/>
      <c r="H257" s="388"/>
      <c r="I257" s="388"/>
      <c r="J257" s="388"/>
    </row>
    <row r="258" spans="2:10" ht="17.399999999999999" x14ac:dyDescent="0.3">
      <c r="B258" s="573" t="s">
        <v>261</v>
      </c>
      <c r="C258" s="574"/>
      <c r="D258" s="575"/>
      <c r="E258" s="404">
        <f>+F227+F228+F229</f>
        <v>0</v>
      </c>
      <c r="F258" s="405"/>
      <c r="H258" s="388"/>
      <c r="I258" s="388"/>
      <c r="J258" s="388"/>
    </row>
    <row r="259" spans="2:10" ht="17.399999999999999" x14ac:dyDescent="0.3">
      <c r="B259" s="573" t="s">
        <v>262</v>
      </c>
      <c r="C259" s="574"/>
      <c r="D259" s="575"/>
      <c r="E259" s="406">
        <f>'7990NTP-NP'!E58</f>
        <v>0</v>
      </c>
      <c r="F259" s="405"/>
      <c r="H259" s="388"/>
      <c r="I259" s="388"/>
      <c r="J259" s="388"/>
    </row>
    <row r="260" spans="2:10" ht="17.399999999999999" x14ac:dyDescent="0.3">
      <c r="B260" s="573" t="s">
        <v>263</v>
      </c>
      <c r="C260" s="574"/>
      <c r="D260" s="575"/>
      <c r="E260" s="406">
        <f>'7990NTP-NP'!E59</f>
        <v>0</v>
      </c>
      <c r="F260" s="405"/>
      <c r="H260" s="388"/>
      <c r="I260" s="388"/>
      <c r="J260" s="388"/>
    </row>
    <row r="261" spans="2:10" ht="17.399999999999999" x14ac:dyDescent="0.3">
      <c r="B261" s="573" t="s">
        <v>264</v>
      </c>
      <c r="C261" s="574"/>
      <c r="D261" s="575"/>
      <c r="E261" s="406">
        <f>'7990NTP-NP'!E60</f>
        <v>0</v>
      </c>
      <c r="F261" s="405"/>
      <c r="H261" s="388"/>
      <c r="I261" s="388"/>
      <c r="J261" s="388"/>
    </row>
    <row r="262" spans="2:10" ht="17.399999999999999" x14ac:dyDescent="0.3">
      <c r="B262" s="573" t="s">
        <v>255</v>
      </c>
      <c r="C262" s="574"/>
      <c r="D262" s="575"/>
      <c r="E262" s="406">
        <f>'7990NTP-NP'!E61</f>
        <v>0</v>
      </c>
      <c r="F262" s="407"/>
      <c r="H262" s="388"/>
      <c r="I262" s="388"/>
      <c r="J262" s="388"/>
    </row>
    <row r="263" spans="2:10" ht="17.399999999999999" x14ac:dyDescent="0.3">
      <c r="B263" s="573" t="s">
        <v>244</v>
      </c>
      <c r="C263" s="574"/>
      <c r="D263" s="575"/>
      <c r="E263" s="406">
        <f>'7990NTP-NP'!E62</f>
        <v>0</v>
      </c>
      <c r="F263" s="407"/>
      <c r="H263" s="388"/>
      <c r="I263" s="388"/>
      <c r="J263" s="388"/>
    </row>
    <row r="264" spans="2:10" ht="17.399999999999999" x14ac:dyDescent="0.3">
      <c r="B264" s="573" t="s">
        <v>240</v>
      </c>
      <c r="C264" s="574"/>
      <c r="D264" s="575"/>
      <c r="E264" s="406">
        <f>'7990NTP-NP'!E63</f>
        <v>0</v>
      </c>
      <c r="F264" s="407"/>
      <c r="H264" s="388"/>
      <c r="I264" s="388"/>
      <c r="J264" s="388"/>
    </row>
    <row r="265" spans="2:10" ht="17.399999999999999" x14ac:dyDescent="0.3">
      <c r="B265" s="576" t="s">
        <v>238</v>
      </c>
      <c r="C265" s="577"/>
      <c r="D265" s="578"/>
      <c r="E265" s="406">
        <f>'7990NTP-NP'!E64</f>
        <v>0</v>
      </c>
      <c r="F265" s="407"/>
      <c r="H265" s="388"/>
      <c r="I265" s="388"/>
      <c r="J265" s="388"/>
    </row>
    <row r="266" spans="2:10" ht="16.2" thickBot="1" x14ac:dyDescent="0.35">
      <c r="B266" s="579"/>
      <c r="C266" s="580"/>
      <c r="D266" s="581"/>
      <c r="E266" s="408"/>
      <c r="F266" s="409"/>
      <c r="H266" s="388"/>
      <c r="I266" s="388"/>
      <c r="J266" s="388"/>
    </row>
    <row r="267" spans="2:10" ht="16.2" thickBot="1" x14ac:dyDescent="0.3">
      <c r="B267" s="558" t="s">
        <v>265</v>
      </c>
      <c r="C267" s="559"/>
      <c r="D267" s="559"/>
      <c r="E267" s="559"/>
      <c r="F267" s="560"/>
      <c r="H267" s="384"/>
      <c r="I267" s="384"/>
      <c r="J267" s="384"/>
    </row>
    <row r="268" spans="2:10" ht="15.6" x14ac:dyDescent="0.3">
      <c r="B268" s="582" t="s">
        <v>266</v>
      </c>
      <c r="C268" s="583"/>
      <c r="D268" s="584"/>
      <c r="E268" s="410" t="s">
        <v>267</v>
      </c>
      <c r="F268" s="411" t="s">
        <v>268</v>
      </c>
      <c r="H268" s="92"/>
      <c r="I268" s="92"/>
      <c r="J268" s="92"/>
    </row>
    <row r="269" spans="2:10" ht="15.6" x14ac:dyDescent="0.3">
      <c r="B269" s="591" t="s">
        <v>7</v>
      </c>
      <c r="C269" s="592"/>
      <c r="D269" s="593"/>
      <c r="E269" s="412">
        <f>'7990NTP-NP'!C68</f>
        <v>14.65</v>
      </c>
      <c r="F269" s="413">
        <f>'7990NTP-NP'!D68</f>
        <v>14.65</v>
      </c>
      <c r="H269" s="92"/>
      <c r="I269" s="92"/>
      <c r="J269" s="92"/>
    </row>
    <row r="270" spans="2:10" ht="15.6" x14ac:dyDescent="0.3">
      <c r="B270" s="591" t="s">
        <v>8</v>
      </c>
      <c r="C270" s="592"/>
      <c r="D270" s="593"/>
      <c r="E270" s="412">
        <f>'7990NTP-NP'!C69</f>
        <v>17.18</v>
      </c>
      <c r="F270" s="413">
        <f>'7990NTP-NP'!D69</f>
        <v>17.18</v>
      </c>
      <c r="H270" s="92"/>
      <c r="I270" s="92"/>
      <c r="J270" s="92"/>
    </row>
    <row r="271" spans="2:10" ht="15.6" x14ac:dyDescent="0.3">
      <c r="B271" s="591" t="s">
        <v>9</v>
      </c>
      <c r="C271" s="592"/>
      <c r="D271" s="593"/>
      <c r="E271" s="412">
        <f>'7990NTP-NP'!C70</f>
        <v>4.0599999999999996</v>
      </c>
      <c r="F271" s="413">
        <f>'7990NTP-NP'!D70</f>
        <v>4.0599999999999996</v>
      </c>
      <c r="H271" s="92"/>
      <c r="I271" s="92"/>
      <c r="J271" s="92"/>
    </row>
    <row r="272" spans="2:10" ht="15.6" x14ac:dyDescent="0.3">
      <c r="B272" s="585" t="s">
        <v>255</v>
      </c>
      <c r="C272" s="586"/>
      <c r="D272" s="587"/>
      <c r="E272" s="438">
        <f>'7990NTP-NP'!C71</f>
        <v>30.02</v>
      </c>
      <c r="F272" s="413">
        <f>'7990NTP-NP'!D71</f>
        <v>30.02</v>
      </c>
      <c r="H272" s="92"/>
      <c r="I272" s="92"/>
      <c r="J272" s="92"/>
    </row>
    <row r="273" spans="2:10" ht="15.6" x14ac:dyDescent="0.3">
      <c r="B273" s="585" t="s">
        <v>244</v>
      </c>
      <c r="C273" s="586"/>
      <c r="D273" s="587"/>
      <c r="E273" s="412">
        <f>'7990NTP-NP'!C72</f>
        <v>30.81</v>
      </c>
      <c r="F273" s="413">
        <f>'7990NTP-NP'!D72</f>
        <v>30.81</v>
      </c>
      <c r="H273" s="92"/>
      <c r="I273" s="92"/>
      <c r="J273" s="92"/>
    </row>
    <row r="274" spans="2:10" ht="15.6" x14ac:dyDescent="0.3">
      <c r="B274" s="585" t="s">
        <v>240</v>
      </c>
      <c r="C274" s="586"/>
      <c r="D274" s="587"/>
      <c r="E274" s="412">
        <f>'7990NTP-NP'!C73</f>
        <v>10.88</v>
      </c>
      <c r="F274" s="413">
        <f>'7990NTP-NP'!D73</f>
        <v>10.88</v>
      </c>
      <c r="H274" s="92"/>
      <c r="I274" s="92"/>
      <c r="J274" s="92"/>
    </row>
    <row r="275" spans="2:10" ht="16.2" thickBot="1" x14ac:dyDescent="0.35">
      <c r="B275" s="588" t="s">
        <v>238</v>
      </c>
      <c r="C275" s="589"/>
      <c r="D275" s="590"/>
      <c r="E275" s="414">
        <f>'7990NTP-NP'!C74</f>
        <v>144.66</v>
      </c>
      <c r="F275" s="415">
        <f>'7990NTP-NP'!D74</f>
        <v>144.66</v>
      </c>
      <c r="H275" s="92"/>
      <c r="I275" s="92"/>
      <c r="J275" s="92"/>
    </row>
    <row r="276" spans="2:10" x14ac:dyDescent="0.25">
      <c r="B276" s="416"/>
      <c r="C276" s="416"/>
      <c r="D276" s="416"/>
      <c r="E276" s="416"/>
      <c r="F276" s="416"/>
      <c r="G276" s="416"/>
      <c r="H276" s="417"/>
      <c r="I276" s="418"/>
      <c r="J276" s="418"/>
    </row>
    <row r="277" spans="2:10" ht="12.6" customHeight="1" x14ac:dyDescent="0.25">
      <c r="B277" s="525" t="s">
        <v>269</v>
      </c>
      <c r="C277" s="525"/>
      <c r="D277" s="525"/>
      <c r="E277" s="525"/>
      <c r="F277" s="525"/>
      <c r="G277" s="525"/>
      <c r="H277" s="525"/>
      <c r="I277" s="419"/>
      <c r="J277" s="419"/>
    </row>
    <row r="278" spans="2:10" ht="12.6" customHeight="1" x14ac:dyDescent="0.25">
      <c r="B278" s="525"/>
      <c r="C278" s="525"/>
      <c r="D278" s="525"/>
      <c r="E278" s="525"/>
      <c r="F278" s="525"/>
      <c r="G278" s="525"/>
      <c r="H278" s="525"/>
      <c r="I278" s="419"/>
      <c r="J278" s="419"/>
    </row>
    <row r="279" spans="2:10" x14ac:dyDescent="0.25">
      <c r="B279" s="420" t="s">
        <v>270</v>
      </c>
      <c r="C279" s="420"/>
      <c r="D279" s="416"/>
      <c r="E279" s="416"/>
      <c r="F279" s="416"/>
      <c r="G279" s="416"/>
      <c r="H279" s="417"/>
      <c r="I279" s="418"/>
      <c r="J279" s="418"/>
    </row>
  </sheetData>
  <sheetProtection algorithmName="SHA-512" hashValue="6c7khew8iVe0U2fFOVQtbCXtXi30PEH480SV2Fpb8GhxgDqsGIhHCFGtWnUpYIx3y5ngaBPRlg6QT/b3UThU/w==" saltValue="pzEyJNd6qqLlR9wufJuUoQ==" spinCount="100000" sheet="1" objects="1" scenarios="1"/>
  <mergeCells count="74">
    <mergeCell ref="B13:C13"/>
    <mergeCell ref="B6:E6"/>
    <mergeCell ref="B7:E7"/>
    <mergeCell ref="B2:D2"/>
    <mergeCell ref="B3:D3"/>
    <mergeCell ref="B4:D4"/>
    <mergeCell ref="B274:D274"/>
    <mergeCell ref="B275:D275"/>
    <mergeCell ref="B269:D269"/>
    <mergeCell ref="B270:D270"/>
    <mergeCell ref="B271:D271"/>
    <mergeCell ref="B272:D272"/>
    <mergeCell ref="B273:D273"/>
    <mergeCell ref="B263:D263"/>
    <mergeCell ref="B264:D264"/>
    <mergeCell ref="B265:D265"/>
    <mergeCell ref="B266:D266"/>
    <mergeCell ref="B268:D268"/>
    <mergeCell ref="B267:F267"/>
    <mergeCell ref="B258:D258"/>
    <mergeCell ref="B259:D259"/>
    <mergeCell ref="B260:D260"/>
    <mergeCell ref="B261:D261"/>
    <mergeCell ref="B262:D262"/>
    <mergeCell ref="B253:D253"/>
    <mergeCell ref="B254:D254"/>
    <mergeCell ref="B255:D255"/>
    <mergeCell ref="B256:D256"/>
    <mergeCell ref="B257:D257"/>
    <mergeCell ref="B230:D230"/>
    <mergeCell ref="B242:D242"/>
    <mergeCell ref="B252:F252"/>
    <mergeCell ref="B233:C233"/>
    <mergeCell ref="B234:C234"/>
    <mergeCell ref="B235:C235"/>
    <mergeCell ref="B236:C236"/>
    <mergeCell ref="B237:C237"/>
    <mergeCell ref="B238:C238"/>
    <mergeCell ref="B225:D225"/>
    <mergeCell ref="B226:D226"/>
    <mergeCell ref="B227:D227"/>
    <mergeCell ref="B228:D228"/>
    <mergeCell ref="B229:D229"/>
    <mergeCell ref="B220:D220"/>
    <mergeCell ref="B221:D221"/>
    <mergeCell ref="B222:D222"/>
    <mergeCell ref="B223:D223"/>
    <mergeCell ref="B224:D224"/>
    <mergeCell ref="B215:D215"/>
    <mergeCell ref="B216:D216"/>
    <mergeCell ref="B217:D217"/>
    <mergeCell ref="B218:D218"/>
    <mergeCell ref="B219:D219"/>
    <mergeCell ref="B210:D210"/>
    <mergeCell ref="B211:D211"/>
    <mergeCell ref="B212:D212"/>
    <mergeCell ref="B213:D213"/>
    <mergeCell ref="B214:D214"/>
    <mergeCell ref="B277:H278"/>
    <mergeCell ref="B179:D179"/>
    <mergeCell ref="B185:D185"/>
    <mergeCell ref="B197:D197"/>
    <mergeCell ref="B198:D198"/>
    <mergeCell ref="B199:D199"/>
    <mergeCell ref="B200:D200"/>
    <mergeCell ref="B201:D201"/>
    <mergeCell ref="B202:D202"/>
    <mergeCell ref="B203:D203"/>
    <mergeCell ref="B204:D204"/>
    <mergeCell ref="B205:D205"/>
    <mergeCell ref="B206:D206"/>
    <mergeCell ref="B207:D207"/>
    <mergeCell ref="B208:D208"/>
    <mergeCell ref="B209:D209"/>
  </mergeCells>
  <phoneticPr fontId="21" type="noConversion"/>
  <conditionalFormatting sqref="B268">
    <cfRule type="expression" dxfId="0" priority="4" stopIfTrue="1">
      <formula>OR(ABS(#REF!-$E268)&gt;=1,AND(OR(ABS(#REF!-#REF!)&gt;=1,ABS(#REF!-$E268)&gt;=1),OR(MIN(#REF!,#REF!,#REF!)&lt;&gt;0,MAX(#REF!,#REF!,#REF!)&lt;&gt;0)))</formula>
    </cfRule>
  </conditionalFormatting>
  <dataValidations count="10">
    <dataValidation type="whole" operator="greaterThan" allowBlank="1" showInputMessage="1" showErrorMessage="1" sqref="C196:G196" xr:uid="{00000000-0002-0000-0100-000000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. Review to ensure that these amounts match." sqref="F255" xr:uid="{00000000-0002-0000-0100-000001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, and if the 7895 is required, that form as well. Review to ensure that these amounts match." sqref="F259:F265" xr:uid="{00000000-0002-0000-0100-000002000000}">
      <formula1>2</formula1>
    </dataValidation>
    <dataValidation type="decimal" operator="greaterThanOrEqual" allowBlank="1" showInputMessage="1" showErrorMessage="1" errorTitle="Invalid Entry" error="Must be a whole number &gt;= 0." promptTitle="Fiscal Detail Amount" prompt="Fiscal detail must match the amounts on the 7895, when that form is required. Review to ensure that these amounts match." sqref="G245" xr:uid="{00000000-0002-0000-0100-000003000000}">
      <formula1>2</formula1>
    </dataValidation>
    <dataValidation type="decimal" operator="greaterThanOrEqual" allowBlank="1" showInputMessage="1" errorTitle="Invalid Entry" error="Must be a whole number &gt;= 0." promptTitle=" Fiscal Detail Amount" prompt="Fiscal detail  must match the amounts on the FL Info. Review to ensure that these amounts match." sqref="F253" xr:uid="{00000000-0002-0000-0100-000004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 must match the amounts on the FL Info, and if the 7895 is required, that form as well. Review to ensure that these amounts match." sqref="F257" xr:uid="{00000000-0002-0000-0100-000005000000}">
      <formula1>2</formula1>
    </dataValidation>
    <dataValidation type="whole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G246:G251" xr:uid="{00000000-0002-0000-0100-000006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G244" xr:uid="{00000000-0002-0000-0100-000007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. Review to ensure that these amounts match." sqref="F266 F254 F256" xr:uid="{00000000-0002-0000-0100-000008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, and if the 7895 is required, that form as well. Review to ensure that these amounts match." sqref="F258" xr:uid="{00000000-0002-0000-0100-000009000000}">
      <formula1>2</formula1>
    </dataValidation>
  </dataValidations>
  <pageMargins left="0.7" right="0.7" top="0.5" bottom="0.5" header="0.3" footer="0.3"/>
  <pageSetup scale="10" orientation="portrait" r:id="rId1"/>
  <headerFooter>
    <oddFooter>&amp;LDHCS 5994 (04/15) 
&amp;F - &amp;A</oddFooter>
  </headerFooter>
  <ignoredErrors>
    <ignoredError sqref="A175 A182 A193" numberStoredAsText="1"/>
    <ignoredError sqref="G125 G129 G131 G133 G135 G141 G144 G147 G150 G153 G156 G159 G162 G165 G168 G171" formula="1"/>
  </ignoredErrors>
  <legacyDrawing r:id="rId2"/>
</worksheet>
</file>

<file path=docMetadata/LabelInfo.xml><?xml version="1.0" encoding="utf-8"?>
<clbl:labelList xmlns:clbl="http://schemas.microsoft.com/office/2020/mipLabelMetadata">
  <clbl:label id="{34720645-5fdd-4302-8e87-9becee4e5aa1}" enabled="1" method="Standard" siteId="{265c2dcd-2a6e-43aa-b2e8-26421a8c852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7990NTP-NP</vt:lpstr>
      <vt:lpstr>FL Info</vt:lpstr>
      <vt:lpstr>'7990NTP-NP'!Print_Area</vt:lpstr>
      <vt:lpstr>'FL Info'!Print_Area</vt:lpstr>
    </vt:vector>
  </TitlesOfParts>
  <Company>Department of Alcohol &amp; Drug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ADP</dc:creator>
  <cp:lastModifiedBy>Ivy Jung</cp:lastModifiedBy>
  <cp:lastPrinted>2019-05-29T18:15:48Z</cp:lastPrinted>
  <dcterms:created xsi:type="dcterms:W3CDTF">1999-07-07T16:24:46Z</dcterms:created>
  <dcterms:modified xsi:type="dcterms:W3CDTF">2025-05-05T17:40:28Z</dcterms:modified>
</cp:coreProperties>
</file>