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02" activeTab="0"/>
  </bookViews>
  <sheets>
    <sheet name="Notes" sheetId="1" r:id="rId1"/>
    <sheet name="Program Budget" sheetId="2" r:id="rId2"/>
    <sheet name="Service Model" sheetId="3" r:id="rId3"/>
    <sheet name="Revenue Forecast" sheetId="4" r:id="rId4"/>
    <sheet name="Staffing Model" sheetId="5" r:id="rId5"/>
  </sheets>
  <definedNames>
    <definedName name="_xlnm.Print_Titles" localSheetId="2">'Service Model'!$1:$6</definedName>
    <definedName name="_xlnm.Print_Area" localSheetId="0">'Notes'!$A$1:$K$25</definedName>
    <definedName name="_xlnm.Print_Titles" localSheetId="2">'Service Model'!$1:$6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Victor Kogler:
</t>
        </r>
        <r>
          <rPr>
            <sz val="8"/>
            <color indexed="8"/>
            <rFont val="Tahoma"/>
            <family val="2"/>
          </rPr>
          <t>Actually $1.98 per minute but the 15 minute rate is used here for consistency with other services.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Victor Kogler:
</t>
        </r>
        <r>
          <rPr>
            <sz val="8"/>
            <color indexed="8"/>
            <rFont val="Tahoma"/>
            <family val="2"/>
          </rPr>
          <t>Actually $1.98 per minute but the 15 minute rate is used here for consistency with other services.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38" authorId="0">
      <text>
        <r>
          <rPr>
            <b/>
            <sz val="8"/>
            <color indexed="8"/>
            <rFont val="Tahoma"/>
            <family val="2"/>
          </rPr>
          <t xml:space="preserve">Victor Kogler:
</t>
        </r>
        <r>
          <rPr>
            <sz val="8"/>
            <color indexed="8"/>
            <rFont val="Tahoma"/>
            <family val="2"/>
          </rPr>
          <t>Calculated on the breakdown of staff time above.  This is a per-FTE number.</t>
        </r>
      </text>
    </comment>
    <comment ref="F38" authorId="0">
      <text>
        <r>
          <rPr>
            <b/>
            <sz val="8"/>
            <color indexed="8"/>
            <rFont val="Tahoma"/>
            <family val="2"/>
          </rPr>
          <t xml:space="preserve">Victor Kogler:
</t>
        </r>
        <r>
          <rPr>
            <sz val="8"/>
            <color indexed="8"/>
            <rFont val="Tahoma"/>
            <family val="2"/>
          </rPr>
          <t>This number is derived from the proportions in the Pct column and is based on total billing staff FTEs in the budget.</t>
        </r>
      </text>
    </comment>
    <comment ref="F41" authorId="0">
      <text>
        <r>
          <rPr>
            <b/>
            <sz val="8"/>
            <color indexed="8"/>
            <rFont val="Tahoma"/>
            <family val="2"/>
          </rPr>
          <t xml:space="preserve">Victor Kogler:
</t>
        </r>
        <r>
          <rPr>
            <sz val="8"/>
            <color indexed="8"/>
            <rFont val="Tahoma"/>
            <family val="2"/>
          </rPr>
          <t xml:space="preserve">If this number is negative, total available staff hours derived from the total billing FTEs in the budget is probably not adequate to deliver all services projected. </t>
        </r>
      </text>
    </comment>
  </commentList>
</comments>
</file>

<file path=xl/sharedStrings.xml><?xml version="1.0" encoding="utf-8"?>
<sst xmlns="http://schemas.openxmlformats.org/spreadsheetml/2006/main" count="262" uniqueCount="212">
  <si>
    <r>
      <t>Notes</t>
    </r>
    <r>
      <rPr>
        <b/>
        <sz val="12"/>
        <rFont val="Calibri"/>
        <family val="2"/>
      </rPr>
      <t>:</t>
    </r>
  </si>
  <si>
    <t>In General</t>
  </si>
  <si>
    <t>Cells highlighted in yellow are constants or are calculated on the basis of the values entered elsewhere.</t>
  </si>
  <si>
    <t>Cells that are not highlighted contain values that can be modified by the user to conform to their specific program operations.</t>
  </si>
  <si>
    <t>1. Program Budget</t>
  </si>
  <si>
    <t>Please enter budget line items for salaries and benefits and category totals from the SAPC budget template.</t>
  </si>
  <si>
    <t>2. Billable Service Model</t>
  </si>
  <si>
    <t>Please enter here the range of treatment services provided, on average to a typical client.  The numbers entered here must be for a single client and not for the caseload as a whole.</t>
  </si>
  <si>
    <t>3. Revenue Forecast</t>
  </si>
  <si>
    <t>This sheet calculates, on the basis of program budget data, the single-client service model and program parameters entered on this sheet, the gross revenue that can be anticipated.</t>
  </si>
  <si>
    <t>4. Required Service Model</t>
  </si>
  <si>
    <t>DHCS program certification standards require that residential treatment programs provide a minimum of 20 hours per week of individual and/or group counseling sessions and/or structured therapeutic activities shall be provided for each client in accordance with the client’s treatment plan or recovery plan.</t>
  </si>
  <si>
    <t>5. Staffing Model</t>
  </si>
  <si>
    <t>In the Productivity model section, enter numbers in the following order.</t>
  </si>
  <si>
    <t>1. Paid Leave.  This includes holidays as well as average utilization of vacation and sick leave.</t>
  </si>
  <si>
    <t>2. Direct Service Hours - What is your organization's policy or expectation for the amount of time (daily or weekly basis) spent in delivering billable direct services to patients?</t>
  </si>
  <si>
    <t>3. Program Support Hours.  This is basically everything else - Charting, staff meetings, training, phone calls and e-mails, etc.</t>
  </si>
  <si>
    <t>The total must equal 2,080 hours.</t>
  </si>
  <si>
    <t>DMC Outpatient Services Budget</t>
  </si>
  <si>
    <t>Schedule 1A - Direct Salary/Wages &amp;  Benefits (staff providing billable services)</t>
  </si>
  <si>
    <t>Position Title</t>
  </si>
  <si>
    <t>FTE</t>
  </si>
  <si>
    <t>Hourly Rate</t>
  </si>
  <si>
    <t>Amount</t>
  </si>
  <si>
    <t>Program Coordinator</t>
  </si>
  <si>
    <t>Alcohol &amp; Drug Counselor II</t>
  </si>
  <si>
    <t>Alcohol &amp; Drug Counselor I</t>
  </si>
  <si>
    <t>Alcohol &amp; Drug Counselor II (w/bilingual differential)</t>
  </si>
  <si>
    <t>MFT (in therapist capacity)</t>
  </si>
  <si>
    <t>Recovery Support Specialists</t>
  </si>
  <si>
    <t>Case Manager</t>
  </si>
  <si>
    <t>Salaries Subtotal</t>
  </si>
  <si>
    <t>Total</t>
  </si>
  <si>
    <t>Schedule 1B - Indirect Salary/Wages &amp; Benefits (non-billing staff)</t>
  </si>
  <si>
    <t>Executive Director</t>
  </si>
  <si>
    <t>Clinical Director (MFT in LPHA &amp; Clinical Supervisor Capacity)</t>
  </si>
  <si>
    <t>Finance Manager</t>
  </si>
  <si>
    <t>Office Manager</t>
  </si>
  <si>
    <t>QA Manager</t>
  </si>
  <si>
    <t>Compliance Manager</t>
  </si>
  <si>
    <t>IT Manager</t>
  </si>
  <si>
    <t>IT Support</t>
  </si>
  <si>
    <t>Outreach Worker</t>
  </si>
  <si>
    <t>Payroll Taxes &amp; Benefits</t>
  </si>
  <si>
    <t>Totals from SAPC Budget Template</t>
  </si>
  <si>
    <t>Schedule 2 - Facility Rent/Lease</t>
  </si>
  <si>
    <t xml:space="preserve">SCHEDULE 3 -EQUIPMENT AND/OR OTHER ASSET LEASES </t>
  </si>
  <si>
    <t>Schedule 4 - Services &amp; Supplies</t>
  </si>
  <si>
    <t>Direct Operating Costs Total</t>
  </si>
  <si>
    <t>Indirect Operating Costs Total</t>
  </si>
  <si>
    <t>Schedule 5 - Indirect Cost</t>
  </si>
  <si>
    <t>Total Budget</t>
  </si>
  <si>
    <t>Outpatient Treatment Benefit</t>
  </si>
  <si>
    <t>Type of Session and Session Duration in Service Units per Week</t>
  </si>
  <si>
    <t>Session Type</t>
  </si>
  <si>
    <t>Assessment / Intake</t>
  </si>
  <si>
    <t>Treatment Planning</t>
  </si>
  <si>
    <t>Group Counseling</t>
  </si>
  <si>
    <t>Patient Education</t>
  </si>
  <si>
    <t>Individual Counseling</t>
  </si>
  <si>
    <t>Crisis Intervention</t>
  </si>
  <si>
    <t>Family Therapy</t>
  </si>
  <si>
    <t>Collateral Services</t>
  </si>
  <si>
    <t>Medication Services</t>
  </si>
  <si>
    <t>Discharge Services</t>
  </si>
  <si>
    <t>Alcohol / Drug Testing</t>
  </si>
  <si>
    <t>Case Management</t>
  </si>
  <si>
    <t>Recovery Svce - Indidvidual</t>
  </si>
  <si>
    <t>Recovery Svce - Group</t>
  </si>
  <si>
    <t>Recovery Svce - Monitoring</t>
  </si>
  <si>
    <t>Sub. Abuse Assistance</t>
  </si>
  <si>
    <t>Recovery Svce - Case Mgt.</t>
  </si>
  <si>
    <t>Total Units per Week</t>
  </si>
  <si>
    <t>HCPCS</t>
  </si>
  <si>
    <t>H0001</t>
  </si>
  <si>
    <t>T1007</t>
  </si>
  <si>
    <t>H0005</t>
  </si>
  <si>
    <t>T0112</t>
  </si>
  <si>
    <t>H0004</t>
  </si>
  <si>
    <t>H2011</t>
  </si>
  <si>
    <t>T1006</t>
  </si>
  <si>
    <t>H2010</t>
  </si>
  <si>
    <t>D0001</t>
  </si>
  <si>
    <t>H0048</t>
  </si>
  <si>
    <t>H0006</t>
  </si>
  <si>
    <t>H0038-R</t>
  </si>
  <si>
    <t>H0038-S</t>
  </si>
  <si>
    <t>15-Minute Units per Session</t>
  </si>
  <si>
    <t>Cost Per Unit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</si>
  <si>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</si>
  <si>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</si>
  <si>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</si>
  <si>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</si>
  <si>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</si>
  <si>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</si>
  <si>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</si>
  <si>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</si>
  <si>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</si>
  <si>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</si>
  <si>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</si>
  <si>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</si>
  <si>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</si>
  <si>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</si>
  <si>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</si>
  <si>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</si>
  <si>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Patient discharged after Week 16 and Post-Discharge Recovery Support Services begin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</si>
  <si>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</si>
  <si>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</si>
  <si>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</si>
  <si>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</si>
  <si>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</si>
  <si>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</si>
  <si>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</si>
  <si>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</si>
  <si>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</si>
  <si>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</si>
  <si>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</si>
  <si>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</si>
  <si>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</si>
  <si>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</si>
  <si>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</si>
  <si>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</si>
  <si>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</si>
  <si>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</si>
  <si>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</si>
  <si>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</si>
  <si>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</si>
  <si>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</si>
  <si>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</si>
  <si>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</si>
  <si>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</si>
  <si>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</si>
  <si>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</si>
  <si>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</si>
  <si>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</si>
  <si>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</si>
  <si>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</si>
  <si>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</si>
  <si>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Total Units</t>
  </si>
  <si>
    <t>Total Cost</t>
  </si>
  <si>
    <t>Total Sessions</t>
  </si>
  <si>
    <t>Total Staff Hrs</t>
  </si>
  <si>
    <t>Outpatient Treatment 12 Month Drug Medi-Cal Utilization and Revenue Forecast</t>
  </si>
  <si>
    <t>Program Parameters:</t>
  </si>
  <si>
    <t>Episode Duration [Weeks]</t>
  </si>
  <si>
    <t>Direct Service Staff FTEs</t>
  </si>
  <si>
    <t>Caseload per FTE</t>
  </si>
  <si>
    <t>.</t>
  </si>
  <si>
    <t>Individual Session [Hours]</t>
  </si>
  <si>
    <t>Group Session [Hours]</t>
  </si>
  <si>
    <t xml:space="preserve">Avg. DMC Attendance per Group </t>
  </si>
  <si>
    <t>Static Capacity</t>
  </si>
  <si>
    <t>Dynamic Capacity [12 Month Total]</t>
  </si>
  <si>
    <t>Weeks per Year</t>
  </si>
  <si>
    <t>DMC Outpatient Treatment - Utilization Model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</si>
  <si>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</si>
  <si>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</si>
  <si>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</si>
  <si>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</si>
  <si>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</si>
  <si>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</si>
  <si>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</si>
  <si>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</si>
  <si>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</si>
  <si>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Service Type</t>
  </si>
  <si>
    <t>Total Units per Client per Episode</t>
  </si>
  <si>
    <t>Total Sessions Per Client per Episode</t>
  </si>
  <si>
    <t>Total Staff Hours Per Client</t>
  </si>
  <si>
    <t>Annual Units - All Clients</t>
  </si>
  <si>
    <t>Annual Sessions - All Clients</t>
  </si>
  <si>
    <t>Annual Staff Hours - All Clients</t>
  </si>
  <si>
    <t>Total Reimbursement Per Client Tx Episode</t>
  </si>
  <si>
    <t>Total Annual Reimbursement - All Clients</t>
  </si>
  <si>
    <t>Recovery Svce - Individual</t>
  </si>
  <si>
    <t>Totals</t>
  </si>
  <si>
    <t>Adjustments</t>
  </si>
  <si>
    <t>No Show Rate</t>
  </si>
  <si>
    <t>----------------------------------------------------------------------------------------------------------------------------------------&gt;</t>
  </si>
  <si>
    <r>
      <t>Disallowance/Denial Rate</t>
    </r>
    <r>
      <rPr>
        <b/>
        <vertAlign val="superscript"/>
        <sz val="10"/>
        <rFont val="Calibri"/>
        <family val="2"/>
      </rPr>
      <t>1</t>
    </r>
  </si>
  <si>
    <t>Net Annual Reimbursement</t>
  </si>
  <si>
    <t>------------------------------------------------------------------------------------------------------------------------------------------------------------------&gt;</t>
  </si>
  <si>
    <t>Estimated Program Cost from Budget</t>
  </si>
  <si>
    <r>
      <t>Surplus</t>
    </r>
    <r>
      <rPr>
        <b/>
        <sz val="10"/>
        <rFont val="Calibri"/>
        <family val="2"/>
      </rPr>
      <t>/</t>
    </r>
    <r>
      <rPr>
        <b/>
        <sz val="10"/>
        <color indexed="10"/>
        <rFont val="Calibri"/>
        <family val="2"/>
      </rPr>
      <t>(Shortfall)</t>
    </r>
  </si>
  <si>
    <t>Notes:</t>
  </si>
  <si>
    <t>1.)  This represents the percentage of claims that, for whatever reason, cannot be corrected.  In this cell, do not count claims that are resubmitted and eventually paid.</t>
  </si>
  <si>
    <t>DMC Outpatient Treatment - Staffing Model</t>
  </si>
  <si>
    <t>Total Annual Sessions</t>
  </si>
  <si>
    <t>Total Annual Staff Hrs</t>
  </si>
  <si>
    <t>Sessions per Week</t>
  </si>
  <si>
    <t>Staff Hours Per Week</t>
  </si>
  <si>
    <t>Sessions</t>
  </si>
  <si>
    <t>Staff Hrs</t>
  </si>
  <si>
    <t>Ind</t>
  </si>
  <si>
    <t>Grp</t>
  </si>
  <si>
    <t>Direct Services Staff Budgeted</t>
  </si>
  <si>
    <r>
      <t xml:space="preserve">Direct Service Staff FTEs </t>
    </r>
    <r>
      <rPr>
        <i/>
        <sz val="10"/>
        <rFont val="Calibri"/>
        <family val="2"/>
      </rPr>
      <t>(Based on Productivity Model)</t>
    </r>
    <r>
      <rPr>
        <sz val="10"/>
        <rFont val="Calibri"/>
        <family val="2"/>
      </rPr>
      <t xml:space="preserve"> Needed to Provide Total Annual Staff Hours in Cell D13.</t>
    </r>
  </si>
  <si>
    <t>Calculated Cost Based on FTEs</t>
  </si>
  <si>
    <t>Estimated Revenue (from Pg. 1)</t>
  </si>
  <si>
    <t>Annualized Staff Productivity Model</t>
  </si>
  <si>
    <t>Hours Per FTE</t>
  </si>
  <si>
    <t>Pct</t>
  </si>
  <si>
    <t>Weekly Hrs per FTE</t>
  </si>
  <si>
    <t>Total Hrs for Budgeted FTEs</t>
  </si>
  <si>
    <t>Paid Leave</t>
  </si>
  <si>
    <t>Program Support Activity</t>
  </si>
  <si>
    <t>Direct Service</t>
  </si>
  <si>
    <t>Total Budgeted Hours</t>
  </si>
  <si>
    <t>Direct Service Hours per Week</t>
  </si>
  <si>
    <t>Weekly billable hours target</t>
  </si>
  <si>
    <r>
      <t>Under</t>
    </r>
    <r>
      <rPr>
        <sz val="11"/>
        <rFont val="Calibri"/>
        <family val="2"/>
      </rPr>
      <t>/</t>
    </r>
    <r>
      <rPr>
        <sz val="11"/>
        <color indexed="12"/>
        <rFont val="Calibri"/>
        <family val="2"/>
      </rPr>
      <t>Over</t>
    </r>
    <r>
      <rPr>
        <sz val="11"/>
        <rFont val="Calibri"/>
        <family val="2"/>
      </rPr>
      <t xml:space="preserve"> Based on Billing Staff FTEs</t>
    </r>
  </si>
  <si>
    <t>Created by: Victor Kogler</t>
  </si>
  <si>
    <t>Vice President of CIBHS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</si>
</sst>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\$* #,##0.00_);_(\$* \(#,##0.00\);_(\$* \-??_);_(@_)"/>
    <numFmt numFmtId="166" formatCode="_(\$* #,##0_);_(\$* \(#,##0\);_(\$* \-??_);_(@_)"/>
    <numFmt numFmtId="167" formatCode="_(* #,##0_);_(* \(#,##0\);_(* \-??_);_(@_)"/>
    <numFmt numFmtId="168" formatCode="_(* #,##0.0_);_(* \(#,##0.0\);_(* \-?_);_(@_)"/>
    <numFmt numFmtId="169" formatCode="_(* #,##0.0_);_(* \(#,##0.0\);_(* \-??_);_(@_)"/>
    <numFmt numFmtId="170" formatCode="_(\$* #,##0_);_(\$* \(#,##0\);_(\$* \-_);_(@_)"/>
    <numFmt numFmtId="171" formatCode="_(* #,##0_);_(* \(#,##0\);_(* \-?_);_(@_)"/>
    <numFmt numFmtId="172" formatCode="#,##0.0"/>
  </numFmts>
  <fonts count="71">
    <font>
      <sz val="10"/>
      <name val="Arial"/>
      <family val="2"/>
    </font>
    <font>
      <sz val="7"/>
      <name val="Arial"/>
      <family val="2"/>
    </font>
    <font>
      <sz val="10"/>
      <name val="Trebuchet MS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37"/>
      <name val="Calibri"/>
      <family val="2"/>
    </font>
    <font>
      <b/>
      <sz val="10"/>
      <color indexed="12"/>
      <name val="Calibri"/>
      <family val="2"/>
    </font>
    <font>
      <b/>
      <u val="single"/>
      <sz val="10"/>
      <name val="Calibri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2"/>
      <name val="Calibri"/>
      <family val="2"/>
    </font>
    <font>
      <b/>
      <vertAlign val="superscript"/>
      <sz val="10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37"/>
      <name val="Calibri"/>
      <family val="2"/>
    </font>
    <font>
      <sz val="11"/>
      <color indexed="3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7"/>
      </left>
      <right style="thin">
        <color indexed="21"/>
      </right>
      <top style="double">
        <color indexed="57"/>
      </top>
      <bottom style="double">
        <color indexed="57"/>
      </bottom>
    </border>
    <border>
      <left style="thin">
        <color indexed="21"/>
      </left>
      <right style="thin">
        <color indexed="21"/>
      </right>
      <top style="double">
        <color indexed="57"/>
      </top>
      <bottom style="double">
        <color indexed="57"/>
      </bottom>
    </border>
    <border>
      <left style="thin">
        <color indexed="21"/>
      </left>
      <right style="double">
        <color indexed="57"/>
      </right>
      <top style="double">
        <color indexed="57"/>
      </top>
      <bottom style="double">
        <color indexed="57"/>
      </bottom>
    </border>
    <border>
      <left style="double">
        <color indexed="57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double">
        <color indexed="57"/>
      </right>
      <top>
        <color indexed="63"/>
      </top>
      <bottom style="thin">
        <color indexed="21"/>
      </bottom>
    </border>
    <border>
      <left style="double">
        <color indexed="57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57"/>
      </right>
      <top style="thin">
        <color indexed="21"/>
      </top>
      <bottom style="thin">
        <color indexed="21"/>
      </bottom>
    </border>
    <border>
      <left style="double">
        <color indexed="57"/>
      </left>
      <right style="thin">
        <color indexed="21"/>
      </right>
      <top style="thin">
        <color indexed="21"/>
      </top>
      <bottom style="double">
        <color indexed="57"/>
      </bottom>
    </border>
    <border>
      <left style="thin">
        <color indexed="21"/>
      </left>
      <right style="thin">
        <color indexed="21"/>
      </right>
      <top style="thin">
        <color indexed="21"/>
      </top>
      <bottom style="double">
        <color indexed="57"/>
      </bottom>
    </border>
    <border>
      <left style="thin">
        <color indexed="21"/>
      </left>
      <right style="double">
        <color indexed="57"/>
      </right>
      <top style="thin">
        <color indexed="21"/>
      </top>
      <bottom style="double">
        <color indexed="57"/>
      </bottom>
    </border>
    <border>
      <left style="double">
        <color indexed="57"/>
      </left>
      <right style="thin">
        <color indexed="57"/>
      </right>
      <top style="double">
        <color indexed="57"/>
      </top>
      <bottom style="thin">
        <color indexed="57"/>
      </bottom>
    </border>
    <border>
      <left style="thin">
        <color indexed="57"/>
      </left>
      <right style="double">
        <color indexed="57"/>
      </right>
      <top style="double">
        <color indexed="57"/>
      </top>
      <bottom style="thin">
        <color indexed="57"/>
      </bottom>
    </border>
    <border>
      <left style="double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double">
        <color indexed="57"/>
      </right>
      <top style="thin">
        <color indexed="57"/>
      </top>
      <bottom style="thin">
        <color indexed="57"/>
      </bottom>
    </border>
    <border>
      <left style="double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 style="thin">
        <color indexed="57"/>
      </left>
      <right style="double">
        <color indexed="57"/>
      </right>
      <top style="thin">
        <color indexed="57"/>
      </top>
      <bottom style="double">
        <color indexed="57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 style="double">
        <color indexed="57"/>
      </top>
      <bottom>
        <color indexed="63"/>
      </bottom>
    </border>
    <border>
      <left>
        <color indexed="63"/>
      </left>
      <right style="double">
        <color indexed="57"/>
      </right>
      <top style="double">
        <color indexed="57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7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thin">
        <color indexed="57"/>
      </left>
      <right style="thin">
        <color indexed="57"/>
      </right>
      <top style="double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double">
        <color indexed="57"/>
      </top>
      <bottom style="thin">
        <color indexed="57"/>
      </bottom>
    </border>
    <border>
      <left style="double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double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>
        <color indexed="63"/>
      </left>
      <right style="double">
        <color indexed="57"/>
      </right>
      <top style="thin">
        <color indexed="57"/>
      </top>
      <bottom style="double">
        <color indexed="57"/>
      </bottom>
    </border>
    <border>
      <left style="double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double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57"/>
      </bottom>
    </border>
    <border>
      <left style="double">
        <color indexed="57"/>
      </left>
      <right style="thin">
        <color indexed="57"/>
      </right>
      <top style="double">
        <color indexed="57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 style="double">
        <color indexed="57"/>
      </right>
      <top>
        <color indexed="63"/>
      </top>
      <bottom style="thin">
        <color indexed="57"/>
      </bottom>
    </border>
    <border>
      <left style="double">
        <color indexed="57"/>
      </left>
      <right>
        <color indexed="63"/>
      </right>
      <top style="double">
        <color indexed="57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7"/>
      </top>
      <bottom style="thin">
        <color indexed="8"/>
      </bottom>
    </border>
    <border>
      <left>
        <color indexed="63"/>
      </left>
      <right style="double">
        <color indexed="57"/>
      </right>
      <top style="double">
        <color indexed="57"/>
      </top>
      <bottom style="thin">
        <color indexed="8"/>
      </bottom>
    </border>
    <border>
      <left style="double">
        <color indexed="57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57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4" fontId="2" fillId="0" borderId="0">
      <alignment/>
      <protection/>
    </xf>
    <xf numFmtId="41" fontId="0" fillId="0" borderId="0" applyFill="0" applyBorder="0" applyAlignment="0" applyProtection="0"/>
    <xf numFmtId="165" fontId="2" fillId="0" borderId="0">
      <alignment/>
      <protection/>
    </xf>
    <xf numFmtId="42" fontId="0" fillId="0" borderId="0" applyFill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2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46" applyFont="1">
      <alignment/>
      <protection/>
    </xf>
    <xf numFmtId="0" fontId="4" fillId="0" borderId="0" xfId="46" applyFont="1" applyAlignment="1">
      <alignment/>
      <protection/>
    </xf>
    <xf numFmtId="0" fontId="3" fillId="0" borderId="0" xfId="46" applyFont="1" applyAlignment="1">
      <alignment/>
      <protection/>
    </xf>
    <xf numFmtId="0" fontId="3" fillId="0" borderId="0" xfId="46" applyFont="1" applyAlignment="1">
      <alignment horizontal="left" vertical="top"/>
      <protection/>
    </xf>
    <xf numFmtId="0" fontId="5" fillId="0" borderId="0" xfId="46" applyFont="1" applyAlignment="1">
      <alignment horizontal="left" vertical="top"/>
      <protection/>
    </xf>
    <xf numFmtId="0" fontId="6" fillId="0" borderId="0" xfId="46" applyFont="1" applyFill="1">
      <alignment/>
      <protection/>
    </xf>
    <xf numFmtId="0" fontId="7" fillId="0" borderId="0" xfId="46" applyFont="1" applyFill="1" applyAlignment="1">
      <alignment/>
      <protection/>
    </xf>
    <xf numFmtId="0" fontId="8" fillId="0" borderId="0" xfId="46" applyFont="1" applyFill="1" applyAlignment="1">
      <alignment/>
      <protection/>
    </xf>
    <xf numFmtId="0" fontId="6" fillId="0" borderId="0" xfId="46" applyFont="1" applyFill="1" applyAlignment="1">
      <alignment/>
      <protection/>
    </xf>
    <xf numFmtId="0" fontId="9" fillId="0" borderId="10" xfId="46" applyFont="1" applyFill="1" applyBorder="1" applyAlignment="1">
      <alignment horizontal="center" vertical="center"/>
      <protection/>
    </xf>
    <xf numFmtId="0" fontId="9" fillId="0" borderId="11" xfId="46" applyFont="1" applyFill="1" applyBorder="1" applyAlignment="1">
      <alignment horizontal="center" vertical="center"/>
      <protection/>
    </xf>
    <xf numFmtId="0" fontId="9" fillId="0" borderId="12" xfId="46" applyFont="1" applyFill="1" applyBorder="1" applyAlignment="1">
      <alignment horizontal="center" vertical="center"/>
      <protection/>
    </xf>
    <xf numFmtId="0" fontId="6" fillId="0" borderId="13" xfId="46" applyFont="1" applyFill="1" applyBorder="1" applyAlignment="1">
      <alignment/>
      <protection/>
    </xf>
    <xf numFmtId="2" fontId="6" fillId="33" borderId="14" xfId="42" applyNumberFormat="1" applyFont="1" applyFill="1" applyBorder="1" applyAlignment="1" applyProtection="1">
      <alignment horizontal="right"/>
      <protection/>
    </xf>
    <xf numFmtId="165" fontId="6" fillId="33" borderId="14" xfId="44" applyFont="1" applyFill="1" applyBorder="1" applyAlignment="1" applyProtection="1">
      <alignment horizontal="right"/>
      <protection/>
    </xf>
    <xf numFmtId="166" fontId="6" fillId="34" borderId="15" xfId="46" applyNumberFormat="1" applyFont="1" applyFill="1" applyBorder="1" applyAlignment="1">
      <alignment/>
      <protection/>
    </xf>
    <xf numFmtId="0" fontId="6" fillId="0" borderId="16" xfId="46" applyFont="1" applyFill="1" applyBorder="1" applyAlignment="1">
      <alignment/>
      <protection/>
    </xf>
    <xf numFmtId="165" fontId="6" fillId="33" borderId="17" xfId="44" applyFont="1" applyFill="1" applyBorder="1" applyAlignment="1" applyProtection="1">
      <alignment horizontal="right"/>
      <protection/>
    </xf>
    <xf numFmtId="166" fontId="6" fillId="34" borderId="18" xfId="46" applyNumberFormat="1" applyFont="1" applyFill="1" applyBorder="1" applyAlignment="1">
      <alignment/>
      <protection/>
    </xf>
    <xf numFmtId="2" fontId="6" fillId="0" borderId="14" xfId="42" applyNumberFormat="1" applyFont="1" applyFill="1" applyBorder="1" applyAlignment="1" applyProtection="1">
      <alignment horizontal="right"/>
      <protection/>
    </xf>
    <xf numFmtId="165" fontId="6" fillId="0" borderId="17" xfId="44" applyFont="1" applyFill="1" applyBorder="1" applyAlignment="1" applyProtection="1">
      <alignment horizontal="right"/>
      <protection/>
    </xf>
    <xf numFmtId="2" fontId="6" fillId="0" borderId="17" xfId="42" applyNumberFormat="1" applyFont="1" applyFill="1" applyBorder="1" applyAlignment="1" applyProtection="1">
      <alignment horizontal="right"/>
      <protection/>
    </xf>
    <xf numFmtId="0" fontId="10" fillId="0" borderId="16" xfId="46" applyFont="1" applyFill="1" applyBorder="1" applyAlignment="1">
      <alignment/>
      <protection/>
    </xf>
    <xf numFmtId="164" fontId="6" fillId="0" borderId="17" xfId="42" applyNumberFormat="1" applyFont="1" applyFill="1" applyBorder="1" applyAlignment="1" applyProtection="1">
      <alignment horizontal="right"/>
      <protection/>
    </xf>
    <xf numFmtId="166" fontId="6" fillId="34" borderId="18" xfId="44" applyNumberFormat="1" applyFont="1" applyFill="1" applyBorder="1" applyAlignment="1" applyProtection="1">
      <alignment horizontal="right"/>
      <protection/>
    </xf>
    <xf numFmtId="0" fontId="6" fillId="0" borderId="17" xfId="46" applyFont="1" applyFill="1" applyBorder="1" applyAlignment="1">
      <alignment horizontal="right"/>
      <protection/>
    </xf>
    <xf numFmtId="0" fontId="9" fillId="0" borderId="19" xfId="46" applyFont="1" applyFill="1" applyBorder="1" applyAlignment="1">
      <alignment/>
      <protection/>
    </xf>
    <xf numFmtId="164" fontId="6" fillId="34" borderId="20" xfId="42" applyNumberFormat="1" applyFont="1" applyFill="1" applyBorder="1" applyAlignment="1" applyProtection="1">
      <alignment horizontal="right"/>
      <protection/>
    </xf>
    <xf numFmtId="0" fontId="6" fillId="0" borderId="20" xfId="46" applyFont="1" applyFill="1" applyBorder="1" applyAlignment="1">
      <alignment horizontal="right"/>
      <protection/>
    </xf>
    <xf numFmtId="166" fontId="6" fillId="34" borderId="21" xfId="44" applyNumberFormat="1" applyFont="1" applyFill="1" applyBorder="1" applyAlignment="1" applyProtection="1">
      <alignment horizontal="right"/>
      <protection/>
    </xf>
    <xf numFmtId="9" fontId="10" fillId="0" borderId="0" xfId="61" applyFont="1" applyFill="1" applyBorder="1" applyAlignment="1" applyProtection="1">
      <alignment/>
      <protection/>
    </xf>
    <xf numFmtId="0" fontId="9" fillId="0" borderId="0" xfId="46" applyFont="1" applyFill="1" applyAlignment="1">
      <alignment/>
      <protection/>
    </xf>
    <xf numFmtId="166" fontId="6" fillId="0" borderId="0" xfId="44" applyNumberFormat="1" applyFont="1" applyFill="1" applyBorder="1" applyAlignment="1" applyProtection="1">
      <alignment/>
      <protection/>
    </xf>
    <xf numFmtId="0" fontId="8" fillId="0" borderId="22" xfId="46" applyFont="1" applyFill="1" applyBorder="1">
      <alignment/>
      <protection/>
    </xf>
    <xf numFmtId="166" fontId="6" fillId="33" borderId="23" xfId="44" applyNumberFormat="1" applyFont="1" applyFill="1" applyBorder="1" applyAlignment="1" applyProtection="1">
      <alignment/>
      <protection/>
    </xf>
    <xf numFmtId="0" fontId="8" fillId="0" borderId="24" xfId="46" applyFont="1" applyFill="1" applyBorder="1" applyAlignment="1">
      <alignment horizontal="left" indent="1"/>
      <protection/>
    </xf>
    <xf numFmtId="166" fontId="6" fillId="33" borderId="25" xfId="44" applyNumberFormat="1" applyFont="1" applyFill="1" applyBorder="1" applyAlignment="1" applyProtection="1">
      <alignment/>
      <protection/>
    </xf>
    <xf numFmtId="0" fontId="8" fillId="0" borderId="24" xfId="46" applyFont="1" applyFill="1" applyBorder="1" applyAlignment="1">
      <alignment horizontal="left"/>
      <protection/>
    </xf>
    <xf numFmtId="0" fontId="11" fillId="0" borderId="24" xfId="46" applyFont="1" applyFill="1" applyBorder="1">
      <alignment/>
      <protection/>
    </xf>
    <xf numFmtId="0" fontId="8" fillId="0" borderId="24" xfId="46" applyFont="1" applyFill="1" applyBorder="1">
      <alignment/>
      <protection/>
    </xf>
    <xf numFmtId="166" fontId="11" fillId="33" borderId="25" xfId="44" applyNumberFormat="1" applyFont="1" applyFill="1" applyBorder="1" applyAlignment="1" applyProtection="1">
      <alignment/>
      <protection/>
    </xf>
    <xf numFmtId="166" fontId="6" fillId="0" borderId="25" xfId="44" applyNumberFormat="1" applyFont="1" applyFill="1" applyBorder="1" applyAlignment="1" applyProtection="1">
      <alignment/>
      <protection/>
    </xf>
    <xf numFmtId="0" fontId="8" fillId="0" borderId="26" xfId="46" applyFont="1" applyFill="1" applyBorder="1">
      <alignment/>
      <protection/>
    </xf>
    <xf numFmtId="166" fontId="6" fillId="34" borderId="27" xfId="44" applyNumberFormat="1" applyFont="1" applyFill="1" applyBorder="1" applyAlignment="1" applyProtection="1">
      <alignment/>
      <protection/>
    </xf>
    <xf numFmtId="0" fontId="11" fillId="0" borderId="0" xfId="46" applyFont="1" applyFill="1">
      <alignment/>
      <protection/>
    </xf>
    <xf numFmtId="0" fontId="12" fillId="0" borderId="28" xfId="46" applyFont="1" applyFill="1" applyBorder="1" applyAlignment="1">
      <alignment horizontal="center" vertical="center" wrapText="1"/>
      <protection/>
    </xf>
    <xf numFmtId="0" fontId="13" fillId="0" borderId="28" xfId="46" applyFont="1" applyFill="1" applyBorder="1" applyAlignment="1">
      <alignment horizontal="center" vertical="center" wrapText="1"/>
      <protection/>
    </xf>
    <xf numFmtId="0" fontId="13" fillId="0" borderId="29" xfId="46" applyFont="1" applyFill="1" applyBorder="1" applyAlignment="1">
      <alignment horizontal="center" vertical="center" wrapText="1"/>
      <protection/>
    </xf>
    <xf numFmtId="0" fontId="13" fillId="0" borderId="30" xfId="46" applyFont="1" applyFill="1" applyBorder="1" applyAlignment="1">
      <alignment horizontal="center" vertical="center" wrapText="1"/>
      <protection/>
    </xf>
    <xf numFmtId="0" fontId="12" fillId="0" borderId="31" xfId="46" applyFont="1" applyFill="1" applyBorder="1" applyAlignment="1">
      <alignment horizontal="center" vertical="center" wrapText="1"/>
      <protection/>
    </xf>
    <xf numFmtId="0" fontId="11" fillId="0" borderId="31" xfId="46" applyFont="1" applyFill="1" applyBorder="1" applyAlignment="1">
      <alignment horizontal="center" vertical="center" wrapText="1"/>
      <protection/>
    </xf>
    <xf numFmtId="0" fontId="11" fillId="0" borderId="32" xfId="46" applyFont="1" applyFill="1" applyBorder="1" applyAlignment="1">
      <alignment horizontal="center" vertical="center" wrapText="1"/>
      <protection/>
    </xf>
    <xf numFmtId="0" fontId="11" fillId="0" borderId="33" xfId="46" applyFont="1" applyFill="1" applyBorder="1" applyAlignment="1">
      <alignment horizontal="center" vertical="center" wrapText="1"/>
      <protection/>
    </xf>
    <xf numFmtId="0" fontId="12" fillId="0" borderId="34" xfId="46" applyFont="1" applyFill="1" applyBorder="1" applyAlignment="1">
      <alignment horizontal="center" vertical="center" wrapText="1"/>
      <protection/>
    </xf>
    <xf numFmtId="165" fontId="11" fillId="34" borderId="34" xfId="44" applyFont="1" applyFill="1" applyBorder="1" applyAlignment="1" applyProtection="1">
      <alignment horizontal="center" vertical="center"/>
      <protection/>
    </xf>
    <xf numFmtId="165" fontId="11" fillId="34" borderId="35" xfId="44" applyFont="1" applyFill="1" applyBorder="1" applyAlignment="1" applyProtection="1">
      <alignment horizontal="center" vertical="center"/>
      <protection/>
    </xf>
    <xf numFmtId="165" fontId="11" fillId="34" borderId="36" xfId="44" applyFont="1" applyFill="1" applyBorder="1" applyAlignment="1" applyProtection="1">
      <alignment horizontal="center" vertical="center"/>
      <protection/>
    </xf>
    <xf numFmtId="0" fontId="11" fillId="0" borderId="37" xfId="46" applyFont="1" applyFill="1" applyBorder="1" applyAlignment="1">
      <alignment horizontal="left" indent="1"/>
      <protection/>
    </xf>
    <xf numFmtId="0" fontId="11" fillId="33" borderId="37" xfId="46" applyFont="1" applyFill="1" applyBorder="1">
      <alignment/>
      <protection/>
    </xf>
    <xf numFmtId="0" fontId="11" fillId="33" borderId="38" xfId="46" applyFont="1" applyFill="1" applyBorder="1">
      <alignment/>
      <protection/>
    </xf>
    <xf numFmtId="0" fontId="11" fillId="35" borderId="39" xfId="46" applyFont="1" applyFill="1" applyBorder="1">
      <alignment/>
      <protection/>
    </xf>
    <xf numFmtId="0" fontId="11" fillId="35" borderId="37" xfId="46" applyFont="1" applyFill="1" applyBorder="1">
      <alignment/>
      <protection/>
    </xf>
    <xf numFmtId="0" fontId="11" fillId="34" borderId="37" xfId="46" applyFont="1" applyFill="1" applyBorder="1">
      <alignment/>
      <protection/>
    </xf>
    <xf numFmtId="0" fontId="11" fillId="33" borderId="28" xfId="46" applyFont="1" applyFill="1" applyBorder="1">
      <alignment/>
      <protection/>
    </xf>
    <xf numFmtId="0" fontId="11" fillId="33" borderId="29" xfId="46" applyFont="1" applyFill="1" applyBorder="1">
      <alignment/>
      <protection/>
    </xf>
    <xf numFmtId="0" fontId="11" fillId="35" borderId="30" xfId="46" applyFont="1" applyFill="1" applyBorder="1">
      <alignment/>
      <protection/>
    </xf>
    <xf numFmtId="0" fontId="11" fillId="35" borderId="28" xfId="46" applyFont="1" applyFill="1" applyBorder="1">
      <alignment/>
      <protection/>
    </xf>
    <xf numFmtId="0" fontId="11" fillId="34" borderId="28" xfId="46" applyFont="1" applyFill="1" applyBorder="1">
      <alignment/>
      <protection/>
    </xf>
    <xf numFmtId="0" fontId="11" fillId="0" borderId="40" xfId="46" applyFont="1" applyFill="1" applyBorder="1" applyAlignment="1">
      <alignment horizontal="left" indent="1"/>
      <protection/>
    </xf>
    <xf numFmtId="0" fontId="11" fillId="33" borderId="34" xfId="46" applyFont="1" applyFill="1" applyBorder="1">
      <alignment/>
      <protection/>
    </xf>
    <xf numFmtId="0" fontId="11" fillId="33" borderId="35" xfId="46" applyFont="1" applyFill="1" applyBorder="1">
      <alignment/>
      <protection/>
    </xf>
    <xf numFmtId="0" fontId="11" fillId="35" borderId="36" xfId="46" applyFont="1" applyFill="1" applyBorder="1">
      <alignment/>
      <protection/>
    </xf>
    <xf numFmtId="0" fontId="11" fillId="35" borderId="34" xfId="46" applyFont="1" applyFill="1" applyBorder="1">
      <alignment/>
      <protection/>
    </xf>
    <xf numFmtId="0" fontId="11" fillId="34" borderId="34" xfId="46" applyFont="1" applyFill="1" applyBorder="1">
      <alignment/>
      <protection/>
    </xf>
    <xf numFmtId="0" fontId="11" fillId="33" borderId="41" xfId="46" applyFont="1" applyFill="1" applyBorder="1">
      <alignment/>
      <protection/>
    </xf>
    <xf numFmtId="0" fontId="11" fillId="33" borderId="42" xfId="46" applyFont="1" applyFill="1" applyBorder="1">
      <alignment/>
      <protection/>
    </xf>
    <xf numFmtId="0" fontId="11" fillId="35" borderId="43" xfId="46" applyFont="1" applyFill="1" applyBorder="1">
      <alignment/>
      <protection/>
    </xf>
    <xf numFmtId="0" fontId="11" fillId="35" borderId="41" xfId="46" applyFont="1" applyFill="1" applyBorder="1">
      <alignment/>
      <protection/>
    </xf>
    <xf numFmtId="0" fontId="11" fillId="34" borderId="41" xfId="46" applyFont="1" applyFill="1" applyBorder="1">
      <alignment/>
      <protection/>
    </xf>
    <xf numFmtId="0" fontId="11" fillId="36" borderId="28" xfId="46" applyFont="1" applyFill="1" applyBorder="1">
      <alignment/>
      <protection/>
    </xf>
    <xf numFmtId="0" fontId="11" fillId="37" borderId="28" xfId="46" applyFont="1" applyFill="1" applyBorder="1">
      <alignment/>
      <protection/>
    </xf>
    <xf numFmtId="0" fontId="11" fillId="37" borderId="29" xfId="46" applyFont="1" applyFill="1" applyBorder="1">
      <alignment/>
      <protection/>
    </xf>
    <xf numFmtId="0" fontId="16" fillId="33" borderId="30" xfId="46" applyFont="1" applyFill="1" applyBorder="1">
      <alignment/>
      <protection/>
    </xf>
    <xf numFmtId="0" fontId="16" fillId="33" borderId="28" xfId="46" applyFont="1" applyFill="1" applyBorder="1">
      <alignment/>
      <protection/>
    </xf>
    <xf numFmtId="0" fontId="11" fillId="0" borderId="41" xfId="46" applyFont="1" applyFill="1" applyBorder="1" applyAlignment="1">
      <alignment horizontal="left" indent="1"/>
      <protection/>
    </xf>
    <xf numFmtId="0" fontId="11" fillId="0" borderId="0" xfId="46" applyFont="1" applyFill="1" applyBorder="1">
      <alignment/>
      <protection/>
    </xf>
    <xf numFmtId="167" fontId="11" fillId="34" borderId="0" xfId="42" applyNumberFormat="1" applyFont="1" applyFill="1" applyBorder="1" applyAlignment="1" applyProtection="1">
      <alignment/>
      <protection/>
    </xf>
    <xf numFmtId="167" fontId="11" fillId="34" borderId="44" xfId="42" applyNumberFormat="1" applyFont="1" applyFill="1" applyBorder="1" applyAlignment="1" applyProtection="1">
      <alignment/>
      <protection/>
    </xf>
    <xf numFmtId="166" fontId="11" fillId="34" borderId="0" xfId="44" applyNumberFormat="1" applyFont="1" applyFill="1" applyBorder="1" applyAlignment="1" applyProtection="1">
      <alignment/>
      <protection/>
    </xf>
    <xf numFmtId="166" fontId="11" fillId="34" borderId="44" xfId="44" applyNumberFormat="1" applyFont="1" applyFill="1" applyBorder="1" applyAlignment="1" applyProtection="1">
      <alignment/>
      <protection/>
    </xf>
    <xf numFmtId="167" fontId="11" fillId="34" borderId="0" xfId="46" applyNumberFormat="1" applyFont="1" applyFill="1" applyBorder="1">
      <alignment/>
      <protection/>
    </xf>
    <xf numFmtId="167" fontId="11" fillId="34" borderId="44" xfId="46" applyNumberFormat="1" applyFont="1" applyFill="1" applyBorder="1">
      <alignment/>
      <protection/>
    </xf>
    <xf numFmtId="167" fontId="11" fillId="34" borderId="0" xfId="46" applyNumberFormat="1" applyFont="1" applyFill="1">
      <alignment/>
      <protection/>
    </xf>
    <xf numFmtId="164" fontId="11" fillId="34" borderId="0" xfId="46" applyNumberFormat="1" applyFont="1" applyFill="1">
      <alignment/>
      <protection/>
    </xf>
    <xf numFmtId="164" fontId="11" fillId="0" borderId="0" xfId="46" applyNumberFormat="1" applyFont="1" applyFill="1">
      <alignment/>
      <protection/>
    </xf>
    <xf numFmtId="164" fontId="11" fillId="0" borderId="0" xfId="42" applyFont="1" applyFill="1" applyBorder="1" applyAlignment="1" applyProtection="1">
      <alignment/>
      <protection/>
    </xf>
    <xf numFmtId="167" fontId="11" fillId="0" borderId="0" xfId="46" applyNumberFormat="1" applyFont="1" applyFill="1">
      <alignment/>
      <protection/>
    </xf>
    <xf numFmtId="168" fontId="11" fillId="0" borderId="0" xfId="46" applyNumberFormat="1" applyFont="1" applyFill="1">
      <alignment/>
      <protection/>
    </xf>
    <xf numFmtId="0" fontId="11" fillId="0" borderId="0" xfId="46" applyFont="1">
      <alignment/>
      <protection/>
    </xf>
    <xf numFmtId="0" fontId="11" fillId="0" borderId="0" xfId="46" applyFont="1" applyAlignment="1">
      <alignment horizontal="right"/>
      <protection/>
    </xf>
    <xf numFmtId="166" fontId="11" fillId="0" borderId="0" xfId="46" applyNumberFormat="1" applyFont="1" applyFill="1" applyAlignment="1">
      <alignment/>
      <protection/>
    </xf>
    <xf numFmtId="164" fontId="11" fillId="0" borderId="0" xfId="46" applyNumberFormat="1" applyFont="1" applyAlignment="1">
      <alignment horizontal="right"/>
      <protection/>
    </xf>
    <xf numFmtId="0" fontId="18" fillId="0" borderId="45" xfId="46" applyFont="1" applyFill="1" applyBorder="1">
      <alignment/>
      <protection/>
    </xf>
    <xf numFmtId="0" fontId="19" fillId="0" borderId="46" xfId="46" applyFont="1" applyBorder="1">
      <alignment/>
      <protection/>
    </xf>
    <xf numFmtId="0" fontId="8" fillId="0" borderId="47" xfId="46" applyFont="1" applyFill="1" applyBorder="1">
      <alignment/>
      <protection/>
    </xf>
    <xf numFmtId="167" fontId="20" fillId="33" borderId="48" xfId="42" applyNumberFormat="1" applyFont="1" applyFill="1" applyBorder="1" applyAlignment="1" applyProtection="1">
      <alignment horizontal="right"/>
      <protection/>
    </xf>
    <xf numFmtId="164" fontId="11" fillId="0" borderId="0" xfId="46" applyNumberFormat="1" applyFont="1" applyAlignment="1">
      <alignment horizontal="left"/>
      <protection/>
    </xf>
    <xf numFmtId="0" fontId="11" fillId="0" borderId="47" xfId="46" applyFont="1" applyFill="1" applyBorder="1">
      <alignment/>
      <protection/>
    </xf>
    <xf numFmtId="169" fontId="20" fillId="34" borderId="48" xfId="42" applyNumberFormat="1" applyFont="1" applyFill="1" applyBorder="1" applyAlignment="1" applyProtection="1">
      <alignment horizontal="right"/>
      <protection/>
    </xf>
    <xf numFmtId="49" fontId="11" fillId="0" borderId="0" xfId="46" applyNumberFormat="1" applyFont="1" applyAlignment="1">
      <alignment horizontal="right"/>
      <protection/>
    </xf>
    <xf numFmtId="0" fontId="11" fillId="0" borderId="0" xfId="46" applyFont="1" applyAlignment="1">
      <alignment horizontal="left"/>
      <protection/>
    </xf>
    <xf numFmtId="167" fontId="20" fillId="33" borderId="48" xfId="42" applyNumberFormat="1" applyFont="1" applyFill="1" applyBorder="1" applyAlignment="1" applyProtection="1">
      <alignment/>
      <protection/>
    </xf>
    <xf numFmtId="169" fontId="20" fillId="33" borderId="48" xfId="42" applyNumberFormat="1" applyFont="1" applyFill="1" applyBorder="1" applyAlignment="1" applyProtection="1">
      <alignment/>
      <protection/>
    </xf>
    <xf numFmtId="168" fontId="11" fillId="0" borderId="0" xfId="46" applyNumberFormat="1" applyFont="1" applyAlignment="1">
      <alignment horizontal="right"/>
      <protection/>
    </xf>
    <xf numFmtId="167" fontId="11" fillId="0" borderId="0" xfId="46" applyNumberFormat="1" applyFont="1" applyAlignment="1">
      <alignment horizontal="right"/>
      <protection/>
    </xf>
    <xf numFmtId="0" fontId="11" fillId="0" borderId="47" xfId="46" applyFont="1" applyBorder="1">
      <alignment/>
      <protection/>
    </xf>
    <xf numFmtId="167" fontId="21" fillId="34" borderId="48" xfId="42" applyNumberFormat="1" applyFont="1" applyFill="1" applyBorder="1" applyAlignment="1" applyProtection="1">
      <alignment horizontal="right"/>
      <protection/>
    </xf>
    <xf numFmtId="0" fontId="8" fillId="0" borderId="49" xfId="46" applyFont="1" applyBorder="1">
      <alignment/>
      <protection/>
    </xf>
    <xf numFmtId="167" fontId="20" fillId="33" borderId="50" xfId="42" applyNumberFormat="1" applyFont="1" applyFill="1" applyBorder="1" applyAlignment="1" applyProtection="1">
      <alignment horizontal="right"/>
      <protection/>
    </xf>
    <xf numFmtId="0" fontId="8" fillId="0" borderId="0" xfId="46" applyFont="1">
      <alignment/>
      <protection/>
    </xf>
    <xf numFmtId="0" fontId="17" fillId="0" borderId="22" xfId="46" applyFont="1" applyBorder="1" applyAlignment="1">
      <alignment horizontal="center"/>
      <protection/>
    </xf>
    <xf numFmtId="0" fontId="17" fillId="0" borderId="51" xfId="46" applyFont="1" applyBorder="1" applyAlignment="1">
      <alignment horizontal="center"/>
      <protection/>
    </xf>
    <xf numFmtId="0" fontId="17" fillId="0" borderId="52" xfId="46" applyFont="1" applyBorder="1" applyAlignment="1">
      <alignment horizontal="center"/>
      <protection/>
    </xf>
    <xf numFmtId="0" fontId="17" fillId="0" borderId="23" xfId="46" applyFont="1" applyBorder="1" applyAlignment="1">
      <alignment horizontal="center"/>
      <protection/>
    </xf>
    <xf numFmtId="0" fontId="11" fillId="0" borderId="53" xfId="46" applyFont="1" applyBorder="1" applyAlignment="1">
      <alignment horizontal="center" vertical="center"/>
      <protection/>
    </xf>
    <xf numFmtId="0" fontId="11" fillId="0" borderId="54" xfId="46" applyFont="1" applyBorder="1" applyAlignment="1">
      <alignment horizontal="center" vertical="center" wrapText="1"/>
      <protection/>
    </xf>
    <xf numFmtId="0" fontId="11" fillId="0" borderId="54" xfId="46" applyFont="1" applyFill="1" applyBorder="1" applyAlignment="1">
      <alignment horizontal="center" vertical="center" wrapText="1"/>
      <protection/>
    </xf>
    <xf numFmtId="0" fontId="11" fillId="0" borderId="55" xfId="46" applyFont="1" applyFill="1" applyBorder="1" applyAlignment="1">
      <alignment horizontal="center" vertical="center" wrapText="1"/>
      <protection/>
    </xf>
    <xf numFmtId="0" fontId="11" fillId="0" borderId="25" xfId="46" applyFont="1" applyBorder="1" applyAlignment="1">
      <alignment horizontal="center" vertical="center" wrapText="1"/>
      <protection/>
    </xf>
    <xf numFmtId="0" fontId="11" fillId="0" borderId="0" xfId="46" applyFont="1" applyAlignment="1">
      <alignment horizontal="center"/>
      <protection/>
    </xf>
    <xf numFmtId="0" fontId="11" fillId="0" borderId="24" xfId="46" applyFont="1" applyFill="1" applyBorder="1" applyAlignment="1">
      <alignment horizontal="left"/>
      <protection/>
    </xf>
    <xf numFmtId="0" fontId="22" fillId="34" borderId="54" xfId="46" applyFont="1" applyFill="1" applyBorder="1" applyAlignment="1">
      <alignment horizontal="right"/>
      <protection/>
    </xf>
    <xf numFmtId="167" fontId="22" fillId="34" borderId="54" xfId="46" applyNumberFormat="1" applyFont="1" applyFill="1" applyBorder="1" applyAlignment="1">
      <alignment horizontal="right"/>
      <protection/>
    </xf>
    <xf numFmtId="170" fontId="11" fillId="34" borderId="54" xfId="44" applyNumberFormat="1" applyFont="1" applyFill="1" applyBorder="1" applyAlignment="1" applyProtection="1">
      <alignment/>
      <protection/>
    </xf>
    <xf numFmtId="170" fontId="11" fillId="34" borderId="56" xfId="44" applyNumberFormat="1" applyFont="1" applyFill="1" applyBorder="1" applyAlignment="1" applyProtection="1">
      <alignment/>
      <protection/>
    </xf>
    <xf numFmtId="167" fontId="11" fillId="0" borderId="0" xfId="46" applyNumberFormat="1" applyFont="1" applyAlignment="1">
      <alignment horizontal="left"/>
      <protection/>
    </xf>
    <xf numFmtId="1" fontId="22" fillId="34" borderId="54" xfId="46" applyNumberFormat="1" applyFont="1" applyFill="1" applyBorder="1" applyAlignment="1">
      <alignment horizontal="right"/>
      <protection/>
    </xf>
    <xf numFmtId="167" fontId="22" fillId="34" borderId="54" xfId="42" applyNumberFormat="1" applyFont="1" applyFill="1" applyBorder="1" applyAlignment="1" applyProtection="1">
      <alignment horizontal="right"/>
      <protection/>
    </xf>
    <xf numFmtId="0" fontId="11" fillId="0" borderId="26" xfId="46" applyFont="1" applyFill="1" applyBorder="1" applyAlignment="1">
      <alignment horizontal="left"/>
      <protection/>
    </xf>
    <xf numFmtId="0" fontId="22" fillId="34" borderId="57" xfId="46" applyFont="1" applyFill="1" applyBorder="1" applyAlignment="1">
      <alignment horizontal="right"/>
      <protection/>
    </xf>
    <xf numFmtId="167" fontId="22" fillId="34" borderId="57" xfId="46" applyNumberFormat="1" applyFont="1" applyFill="1" applyBorder="1" applyAlignment="1">
      <alignment horizontal="right"/>
      <protection/>
    </xf>
    <xf numFmtId="170" fontId="11" fillId="34" borderId="57" xfId="44" applyNumberFormat="1" applyFont="1" applyFill="1" applyBorder="1" applyAlignment="1" applyProtection="1">
      <alignment/>
      <protection/>
    </xf>
    <xf numFmtId="170" fontId="11" fillId="34" borderId="58" xfId="44" applyNumberFormat="1" applyFont="1" applyFill="1" applyBorder="1" applyAlignment="1" applyProtection="1">
      <alignment/>
      <protection/>
    </xf>
    <xf numFmtId="0" fontId="11" fillId="0" borderId="59" xfId="46" applyFont="1" applyFill="1" applyBorder="1" applyAlignment="1">
      <alignment horizontal="left"/>
      <protection/>
    </xf>
    <xf numFmtId="0" fontId="22" fillId="34" borderId="60" xfId="46" applyFont="1" applyFill="1" applyBorder="1" applyAlignment="1">
      <alignment horizontal="right"/>
      <protection/>
    </xf>
    <xf numFmtId="167" fontId="22" fillId="34" borderId="60" xfId="46" applyNumberFormat="1" applyFont="1" applyFill="1" applyBorder="1" applyAlignment="1">
      <alignment horizontal="right"/>
      <protection/>
    </xf>
    <xf numFmtId="170" fontId="11" fillId="34" borderId="60" xfId="44" applyNumberFormat="1" applyFont="1" applyFill="1" applyBorder="1" applyAlignment="1" applyProtection="1">
      <alignment/>
      <protection/>
    </xf>
    <xf numFmtId="170" fontId="11" fillId="34" borderId="61" xfId="44" applyNumberFormat="1" applyFont="1" applyFill="1" applyBorder="1" applyAlignment="1" applyProtection="1">
      <alignment/>
      <protection/>
    </xf>
    <xf numFmtId="0" fontId="11" fillId="0" borderId="24" xfId="46" applyFont="1" applyBorder="1">
      <alignment/>
      <protection/>
    </xf>
    <xf numFmtId="0" fontId="20" fillId="33" borderId="54" xfId="46" applyFont="1" applyFill="1" applyBorder="1" applyAlignment="1">
      <alignment horizontal="right"/>
      <protection/>
    </xf>
    <xf numFmtId="0" fontId="21" fillId="33" borderId="54" xfId="46" applyFont="1" applyFill="1" applyBorder="1" applyAlignment="1">
      <alignment horizontal="right"/>
      <protection/>
    </xf>
    <xf numFmtId="170" fontId="11" fillId="33" borderId="56" xfId="44" applyNumberFormat="1" applyFont="1" applyFill="1" applyBorder="1" applyAlignment="1" applyProtection="1">
      <alignment/>
      <protection/>
    </xf>
    <xf numFmtId="0" fontId="8" fillId="0" borderId="26" xfId="46" applyFont="1" applyBorder="1">
      <alignment/>
      <protection/>
    </xf>
    <xf numFmtId="167" fontId="23" fillId="34" borderId="57" xfId="42" applyNumberFormat="1" applyFont="1" applyFill="1" applyBorder="1" applyAlignment="1" applyProtection="1">
      <alignment horizontal="right"/>
      <protection/>
    </xf>
    <xf numFmtId="170" fontId="23" fillId="34" borderId="62" xfId="46" applyNumberFormat="1" applyFont="1" applyFill="1" applyBorder="1" applyAlignment="1">
      <alignment horizontal="right"/>
      <protection/>
    </xf>
    <xf numFmtId="170" fontId="8" fillId="34" borderId="27" xfId="44" applyNumberFormat="1" applyFont="1" applyFill="1" applyBorder="1" applyAlignment="1" applyProtection="1">
      <alignment/>
      <protection/>
    </xf>
    <xf numFmtId="167" fontId="8" fillId="0" borderId="0" xfId="46" applyNumberFormat="1" applyFont="1">
      <alignment/>
      <protection/>
    </xf>
    <xf numFmtId="0" fontId="8" fillId="0" borderId="0" xfId="46" applyFont="1" applyBorder="1">
      <alignment/>
      <protection/>
    </xf>
    <xf numFmtId="0" fontId="8" fillId="0" borderId="0" xfId="46" applyFont="1" applyFill="1" applyBorder="1" applyAlignment="1">
      <alignment horizontal="right"/>
      <protection/>
    </xf>
    <xf numFmtId="0" fontId="8" fillId="0" borderId="0" xfId="46" applyFont="1" applyBorder="1" applyAlignment="1">
      <alignment horizontal="right"/>
      <protection/>
    </xf>
    <xf numFmtId="166" fontId="8" fillId="0" borderId="0" xfId="44" applyNumberFormat="1" applyFont="1" applyFill="1" applyBorder="1" applyAlignment="1" applyProtection="1">
      <alignment/>
      <protection/>
    </xf>
    <xf numFmtId="0" fontId="11" fillId="0" borderId="0" xfId="46" applyFont="1" applyBorder="1" applyAlignment="1">
      <alignment horizontal="center"/>
      <protection/>
    </xf>
    <xf numFmtId="0" fontId="8" fillId="0" borderId="0" xfId="46" applyFont="1" applyFill="1" applyBorder="1">
      <alignment/>
      <protection/>
    </xf>
    <xf numFmtId="9" fontId="8" fillId="33" borderId="0" xfId="61" applyFont="1" applyFill="1" applyBorder="1" applyAlignment="1" applyProtection="1">
      <alignment horizontal="right"/>
      <protection/>
    </xf>
    <xf numFmtId="0" fontId="24" fillId="0" borderId="0" xfId="46" applyFont="1" applyAlignment="1">
      <alignment horizontal="left"/>
      <protection/>
    </xf>
    <xf numFmtId="166" fontId="16" fillId="34" borderId="0" xfId="46" applyNumberFormat="1" applyFont="1" applyFill="1">
      <alignment/>
      <protection/>
    </xf>
    <xf numFmtId="167" fontId="11" fillId="0" borderId="0" xfId="42" applyNumberFormat="1" applyFont="1" applyFill="1" applyBorder="1" applyAlignment="1" applyProtection="1">
      <alignment/>
      <protection/>
    </xf>
    <xf numFmtId="9" fontId="26" fillId="33" borderId="0" xfId="61" applyFont="1" applyFill="1" applyBorder="1" applyAlignment="1" applyProtection="1">
      <alignment horizontal="right"/>
      <protection/>
    </xf>
    <xf numFmtId="166" fontId="16" fillId="34" borderId="0" xfId="46" applyNumberFormat="1" applyFont="1" applyFill="1" applyBorder="1">
      <alignment/>
      <protection/>
    </xf>
    <xf numFmtId="166" fontId="8" fillId="33" borderId="0" xfId="44" applyNumberFormat="1" applyFont="1" applyFill="1" applyBorder="1" applyAlignment="1" applyProtection="1">
      <alignment/>
      <protection/>
    </xf>
    <xf numFmtId="166" fontId="8" fillId="34" borderId="63" xfId="44" applyNumberFormat="1" applyFont="1" applyFill="1" applyBorder="1" applyAlignment="1" applyProtection="1">
      <alignment/>
      <protection/>
    </xf>
    <xf numFmtId="0" fontId="11" fillId="33" borderId="0" xfId="46" applyFont="1" applyFill="1" applyAlignment="1">
      <alignment/>
      <protection/>
    </xf>
    <xf numFmtId="0" fontId="17" fillId="0" borderId="0" xfId="46" applyFont="1" applyFill="1" applyBorder="1">
      <alignment/>
      <protection/>
    </xf>
    <xf numFmtId="166" fontId="28" fillId="34" borderId="0" xfId="44" applyNumberFormat="1" applyFont="1" applyFill="1" applyBorder="1" applyAlignment="1" applyProtection="1">
      <alignment/>
      <protection/>
    </xf>
    <xf numFmtId="0" fontId="11" fillId="0" borderId="0" xfId="46" applyFont="1" applyAlignment="1">
      <alignment vertical="top" wrapText="1"/>
      <protection/>
    </xf>
    <xf numFmtId="0" fontId="11" fillId="0" borderId="64" xfId="46" applyFont="1" applyBorder="1">
      <alignment/>
      <protection/>
    </xf>
    <xf numFmtId="0" fontId="11" fillId="0" borderId="64" xfId="46" applyFont="1" applyFill="1" applyBorder="1">
      <alignment/>
      <protection/>
    </xf>
    <xf numFmtId="0" fontId="11" fillId="0" borderId="65" xfId="46" applyFont="1" applyBorder="1" applyAlignment="1">
      <alignment horizontal="center" vertical="center"/>
      <protection/>
    </xf>
    <xf numFmtId="0" fontId="11" fillId="0" borderId="60" xfId="46" applyFont="1" applyBorder="1" applyAlignment="1">
      <alignment horizontal="center" vertical="center" wrapText="1"/>
      <protection/>
    </xf>
    <xf numFmtId="0" fontId="11" fillId="0" borderId="66" xfId="46" applyFont="1" applyFill="1" applyBorder="1" applyAlignment="1">
      <alignment horizontal="center" vertical="center" wrapText="1"/>
      <protection/>
    </xf>
    <xf numFmtId="0" fontId="11" fillId="0" borderId="47" xfId="46" applyFont="1" applyFill="1" applyBorder="1" applyAlignment="1">
      <alignment horizontal="center" vertical="center" wrapText="1"/>
      <protection/>
    </xf>
    <xf numFmtId="0" fontId="11" fillId="0" borderId="0" xfId="46" applyFont="1" applyFill="1" applyBorder="1" applyAlignment="1">
      <alignment horizontal="center" vertical="center" wrapText="1"/>
      <protection/>
    </xf>
    <xf numFmtId="167" fontId="11" fillId="34" borderId="60" xfId="42" applyNumberFormat="1" applyFont="1" applyFill="1" applyBorder="1" applyAlignment="1" applyProtection="1">
      <alignment horizontal="right"/>
      <protection/>
    </xf>
    <xf numFmtId="167" fontId="11" fillId="34" borderId="67" xfId="42" applyNumberFormat="1" applyFont="1" applyFill="1" applyBorder="1" applyAlignment="1" applyProtection="1">
      <alignment horizontal="right"/>
      <protection/>
    </xf>
    <xf numFmtId="1" fontId="24" fillId="0" borderId="0" xfId="46" applyNumberFormat="1" applyFont="1" applyFill="1" applyBorder="1" applyAlignment="1">
      <alignment horizontal="right"/>
      <protection/>
    </xf>
    <xf numFmtId="167" fontId="11" fillId="0" borderId="0" xfId="46" applyNumberFormat="1" applyFont="1" applyFill="1" applyBorder="1" applyAlignment="1">
      <alignment horizontal="right"/>
      <protection/>
    </xf>
    <xf numFmtId="167" fontId="11" fillId="34" borderId="57" xfId="42" applyNumberFormat="1" applyFont="1" applyFill="1" applyBorder="1" applyAlignment="1" applyProtection="1">
      <alignment horizontal="right"/>
      <protection/>
    </xf>
    <xf numFmtId="167" fontId="11" fillId="34" borderId="27" xfId="42" applyNumberFormat="1" applyFont="1" applyFill="1" applyBorder="1" applyAlignment="1" applyProtection="1">
      <alignment horizontal="right"/>
      <protection/>
    </xf>
    <xf numFmtId="0" fontId="11" fillId="0" borderId="24" xfId="46" applyFont="1" applyBorder="1" applyAlignment="1">
      <alignment horizontal="left"/>
      <protection/>
    </xf>
    <xf numFmtId="167" fontId="11" fillId="33" borderId="60" xfId="42" applyNumberFormat="1" applyFont="1" applyFill="1" applyBorder="1" applyAlignment="1" applyProtection="1">
      <alignment horizontal="right"/>
      <protection/>
    </xf>
    <xf numFmtId="1" fontId="11" fillId="33" borderId="67" xfId="46" applyNumberFormat="1" applyFont="1" applyFill="1" applyBorder="1" applyAlignment="1">
      <alignment horizontal="right"/>
      <protection/>
    </xf>
    <xf numFmtId="167" fontId="8" fillId="34" borderId="57" xfId="42" applyNumberFormat="1" applyFont="1" applyFill="1" applyBorder="1" applyAlignment="1" applyProtection="1">
      <alignment horizontal="right"/>
      <protection/>
    </xf>
    <xf numFmtId="1" fontId="8" fillId="34" borderId="27" xfId="46" applyNumberFormat="1" applyFont="1" applyFill="1" applyBorder="1" applyAlignment="1">
      <alignment horizontal="right"/>
      <protection/>
    </xf>
    <xf numFmtId="1" fontId="17" fillId="0" borderId="0" xfId="46" applyNumberFormat="1" applyFont="1" applyFill="1" applyBorder="1" applyAlignment="1">
      <alignment horizontal="right"/>
      <protection/>
    </xf>
    <xf numFmtId="0" fontId="11" fillId="0" borderId="0" xfId="46" applyFont="1" applyFill="1" applyBorder="1" applyAlignment="1">
      <alignment horizontal="right"/>
      <protection/>
    </xf>
    <xf numFmtId="0" fontId="11" fillId="0" borderId="0" xfId="46" applyFont="1" applyFill="1" applyBorder="1" applyAlignment="1">
      <alignment horizontal="center"/>
      <protection/>
    </xf>
    <xf numFmtId="167" fontId="11" fillId="0" borderId="0" xfId="46" applyNumberFormat="1" applyFont="1">
      <alignment/>
      <protection/>
    </xf>
    <xf numFmtId="168" fontId="11" fillId="0" borderId="0" xfId="46" applyNumberFormat="1" applyFont="1" applyFill="1" applyBorder="1" applyAlignment="1">
      <alignment horizontal="right"/>
      <protection/>
    </xf>
    <xf numFmtId="171" fontId="11" fillId="0" borderId="0" xfId="46" applyNumberFormat="1" applyFont="1" applyFill="1" applyBorder="1" applyAlignment="1">
      <alignment horizontal="right"/>
      <protection/>
    </xf>
    <xf numFmtId="171" fontId="11" fillId="0" borderId="0" xfId="46" applyNumberFormat="1" applyFont="1">
      <alignment/>
      <protection/>
    </xf>
    <xf numFmtId="167" fontId="11" fillId="0" borderId="64" xfId="46" applyNumberFormat="1" applyFont="1" applyBorder="1" applyAlignment="1">
      <alignment horizontal="right"/>
      <protection/>
    </xf>
    <xf numFmtId="171" fontId="11" fillId="0" borderId="64" xfId="46" applyNumberFormat="1" applyFont="1" applyFill="1" applyBorder="1" applyAlignment="1">
      <alignment horizontal="right"/>
      <protection/>
    </xf>
    <xf numFmtId="0" fontId="11" fillId="0" borderId="0" xfId="46" applyFont="1" applyAlignment="1">
      <alignment/>
      <protection/>
    </xf>
    <xf numFmtId="172" fontId="11" fillId="0" borderId="0" xfId="46" applyNumberFormat="1" applyFont="1">
      <alignment/>
      <protection/>
    </xf>
    <xf numFmtId="0" fontId="11" fillId="0" borderId="0" xfId="46" applyFont="1" applyBorder="1" applyAlignment="1">
      <alignment wrapText="1"/>
      <protection/>
    </xf>
    <xf numFmtId="172" fontId="11" fillId="0" borderId="0" xfId="46" applyNumberFormat="1" applyFont="1" applyAlignment="1">
      <alignment horizontal="right"/>
      <protection/>
    </xf>
    <xf numFmtId="4" fontId="11" fillId="0" borderId="0" xfId="46" applyNumberFormat="1" applyFont="1">
      <alignment/>
      <protection/>
    </xf>
    <xf numFmtId="166" fontId="11" fillId="0" borderId="0" xfId="44" applyNumberFormat="1" applyFont="1" applyFill="1" applyBorder="1" applyAlignment="1" applyProtection="1">
      <alignment horizontal="right"/>
      <protection/>
    </xf>
    <xf numFmtId="166" fontId="11" fillId="0" borderId="0" xfId="44" applyNumberFormat="1" applyFont="1" applyFill="1" applyBorder="1" applyAlignment="1" applyProtection="1">
      <alignment/>
      <protection/>
    </xf>
    <xf numFmtId="165" fontId="11" fillId="0" borderId="0" xfId="46" applyNumberFormat="1" applyFont="1" applyAlignment="1">
      <alignment horizontal="right"/>
      <protection/>
    </xf>
    <xf numFmtId="171" fontId="11" fillId="0" borderId="0" xfId="46" applyNumberFormat="1" applyFont="1" applyAlignment="1">
      <alignment horizontal="right"/>
      <protection/>
    </xf>
    <xf numFmtId="0" fontId="8" fillId="0" borderId="68" xfId="46" applyFont="1" applyBorder="1" applyAlignment="1">
      <alignment vertical="center"/>
      <protection/>
    </xf>
    <xf numFmtId="0" fontId="11" fillId="0" borderId="69" xfId="46" applyFont="1" applyBorder="1" applyAlignment="1">
      <alignment horizontal="center" vertical="center" wrapText="1"/>
      <protection/>
    </xf>
    <xf numFmtId="0" fontId="11" fillId="0" borderId="70" xfId="46" applyFont="1" applyBorder="1" applyAlignment="1">
      <alignment horizontal="center" vertical="center" wrapText="1"/>
      <protection/>
    </xf>
    <xf numFmtId="167" fontId="26" fillId="33" borderId="0" xfId="42" applyNumberFormat="1" applyFont="1" applyFill="1" applyBorder="1" applyAlignment="1" applyProtection="1">
      <alignment horizontal="right"/>
      <protection/>
    </xf>
    <xf numFmtId="9" fontId="11" fillId="34" borderId="0" xfId="61" applyFont="1" applyFill="1" applyBorder="1" applyAlignment="1" applyProtection="1">
      <alignment horizontal="right"/>
      <protection/>
    </xf>
    <xf numFmtId="167" fontId="11" fillId="34" borderId="0" xfId="42" applyNumberFormat="1" applyFont="1" applyFill="1" applyBorder="1" applyAlignment="1" applyProtection="1">
      <alignment horizontal="right"/>
      <protection/>
    </xf>
    <xf numFmtId="167" fontId="11" fillId="34" borderId="48" xfId="42" applyNumberFormat="1" applyFont="1" applyFill="1" applyBorder="1" applyAlignment="1" applyProtection="1">
      <alignment horizontal="right"/>
      <protection/>
    </xf>
    <xf numFmtId="0" fontId="11" fillId="0" borderId="71" xfId="46" applyFont="1" applyBorder="1">
      <alignment/>
      <protection/>
    </xf>
    <xf numFmtId="167" fontId="26" fillId="33" borderId="72" xfId="42" applyNumberFormat="1" applyFont="1" applyFill="1" applyBorder="1" applyAlignment="1" applyProtection="1">
      <alignment horizontal="right"/>
      <protection/>
    </xf>
    <xf numFmtId="9" fontId="11" fillId="34" borderId="72" xfId="61" applyFont="1" applyFill="1" applyBorder="1" applyAlignment="1" applyProtection="1">
      <alignment horizontal="right"/>
      <protection/>
    </xf>
    <xf numFmtId="167" fontId="11" fillId="34" borderId="72" xfId="42" applyNumberFormat="1" applyFont="1" applyFill="1" applyBorder="1" applyAlignment="1" applyProtection="1">
      <alignment horizontal="right"/>
      <protection/>
    </xf>
    <xf numFmtId="167" fontId="11" fillId="34" borderId="73" xfId="42" applyNumberFormat="1" applyFont="1" applyFill="1" applyBorder="1" applyAlignment="1" applyProtection="1">
      <alignment horizontal="right"/>
      <protection/>
    </xf>
    <xf numFmtId="0" fontId="11" fillId="0" borderId="49" xfId="46" applyFont="1" applyBorder="1">
      <alignment/>
      <protection/>
    </xf>
    <xf numFmtId="167" fontId="11" fillId="34" borderId="64" xfId="42" applyNumberFormat="1" applyFont="1" applyFill="1" applyBorder="1" applyAlignment="1" applyProtection="1">
      <alignment horizontal="right"/>
      <protection/>
    </xf>
    <xf numFmtId="167" fontId="11" fillId="0" borderId="64" xfId="42" applyNumberFormat="1" applyFont="1" applyFill="1" applyBorder="1" applyAlignment="1" applyProtection="1">
      <alignment horizontal="right"/>
      <protection/>
    </xf>
    <xf numFmtId="167" fontId="11" fillId="34" borderId="50" xfId="42" applyNumberFormat="1" applyFont="1" applyFill="1" applyBorder="1" applyAlignment="1" applyProtection="1">
      <alignment horizontal="right"/>
      <protection/>
    </xf>
    <xf numFmtId="0" fontId="6" fillId="0" borderId="0" xfId="46" applyFont="1">
      <alignment/>
      <protection/>
    </xf>
    <xf numFmtId="1" fontId="8" fillId="34" borderId="0" xfId="46" applyNumberFormat="1" applyFont="1" applyFill="1">
      <alignment/>
      <protection/>
    </xf>
    <xf numFmtId="0" fontId="29" fillId="0" borderId="0" xfId="46" applyFont="1">
      <alignment/>
      <protection/>
    </xf>
    <xf numFmtId="0" fontId="69" fillId="0" borderId="0" xfId="46" applyFont="1" applyAlignment="1">
      <alignment/>
      <protection/>
    </xf>
    <xf numFmtId="0" fontId="69" fillId="0" borderId="0" xfId="46" applyFont="1">
      <alignment/>
      <protection/>
    </xf>
    <xf numFmtId="0" fontId="5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left" vertical="top" wrapText="1"/>
      <protection/>
    </xf>
    <xf numFmtId="0" fontId="5" fillId="0" borderId="0" xfId="46" applyFont="1" applyBorder="1" applyAlignment="1">
      <alignment horizontal="left" vertical="top" wrapText="1"/>
      <protection/>
    </xf>
    <xf numFmtId="0" fontId="5" fillId="0" borderId="0" xfId="46" applyFont="1" applyBorder="1" applyAlignment="1">
      <alignment horizontal="left" vertical="top"/>
      <protection/>
    </xf>
    <xf numFmtId="0" fontId="7" fillId="0" borderId="0" xfId="46" applyFont="1" applyFill="1" applyBorder="1" applyAlignment="1">
      <alignment horizontal="center"/>
      <protection/>
    </xf>
    <xf numFmtId="0" fontId="8" fillId="0" borderId="64" xfId="46" applyFont="1" applyFill="1" applyBorder="1" applyAlignment="1">
      <alignment horizont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8" fillId="0" borderId="74" xfId="46" applyFont="1" applyFill="1" applyBorder="1" applyAlignment="1">
      <alignment horizontal="center" vertical="center"/>
      <protection/>
    </xf>
    <xf numFmtId="0" fontId="8" fillId="0" borderId="34" xfId="46" applyFont="1" applyFill="1" applyBorder="1" applyAlignment="1">
      <alignment horizontal="center" vertical="center" wrapText="1"/>
      <protection/>
    </xf>
    <xf numFmtId="0" fontId="8" fillId="38" borderId="75" xfId="46" applyFont="1" applyFill="1" applyBorder="1" applyAlignment="1">
      <alignment horizontal="center"/>
      <protection/>
    </xf>
    <xf numFmtId="0" fontId="17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/>
      <protection/>
    </xf>
    <xf numFmtId="0" fontId="11" fillId="0" borderId="0" xfId="46" applyFont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b val="0"/>
        <color indexed="12"/>
      </font>
    </dxf>
    <dxf>
      <font>
        <b val="0"/>
        <color indexed="16"/>
      </font>
    </dxf>
    <dxf>
      <font>
        <b val="0"/>
        <color indexed="10"/>
      </font>
    </dxf>
    <dxf>
      <font>
        <b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EFEFF0"/>
      <rgbColor rgb="00660066"/>
      <rgbColor rgb="00FF8080"/>
      <rgbColor rgb="000066CC"/>
      <rgbColor rgb="00E2E2E3"/>
      <rgbColor rgb="00000080"/>
      <rgbColor rgb="00FF00FF"/>
      <rgbColor rgb="00FFFF00"/>
      <rgbColor rgb="0000FFFF"/>
      <rgbColor rgb="00800080"/>
      <rgbColor rgb="00C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28575</xdr:rowOff>
    </xdr:from>
    <xdr:to>
      <xdr:col>9</xdr:col>
      <xdr:colOff>142875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28575"/>
          <a:ext cx="819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P11" sqref="P11"/>
    </sheetView>
  </sheetViews>
  <sheetFormatPr defaultColWidth="8.7109375" defaultRowHeight="12.75"/>
  <cols>
    <col min="1" max="8" width="8.7109375" style="1" customWidth="1"/>
    <col min="9" max="9" width="1.421875" style="1" customWidth="1"/>
    <col min="10" max="10" width="15.00390625" style="1" customWidth="1"/>
    <col min="11" max="11" width="2.28125" style="1" customWidth="1"/>
    <col min="12" max="16384" width="8.7109375" style="1" customWidth="1"/>
  </cols>
  <sheetData>
    <row r="1" spans="1:7" ht="15.75">
      <c r="A1" s="2" t="s">
        <v>0</v>
      </c>
      <c r="C1" s="3"/>
      <c r="D1" s="3"/>
      <c r="E1" s="231" t="s">
        <v>210</v>
      </c>
      <c r="F1" s="232"/>
      <c r="G1" s="232"/>
    </row>
    <row r="2" spans="1:7" ht="15.75">
      <c r="A2" s="2"/>
      <c r="C2" s="3"/>
      <c r="D2" s="3"/>
      <c r="E2" s="231" t="s">
        <v>211</v>
      </c>
      <c r="F2" s="232"/>
      <c r="G2" s="232"/>
    </row>
    <row r="3" spans="1:5" ht="15.75">
      <c r="A3" s="233" t="s">
        <v>1</v>
      </c>
      <c r="B3" s="233"/>
      <c r="C3" s="233"/>
      <c r="D3" s="233"/>
      <c r="E3" s="233"/>
    </row>
    <row r="4" spans="1:11" ht="33" customHeight="1">
      <c r="A4" s="234" t="s">
        <v>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</row>
    <row r="5" spans="1:11" ht="35.25" customHeight="1">
      <c r="A5" s="234" t="s">
        <v>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</row>
    <row r="6" spans="1:5" ht="15">
      <c r="A6" s="4"/>
      <c r="B6" s="3"/>
      <c r="C6" s="3"/>
      <c r="D6" s="3"/>
      <c r="E6" s="3"/>
    </row>
    <row r="7" spans="1:5" ht="15">
      <c r="A7" s="233" t="s">
        <v>4</v>
      </c>
      <c r="B7" s="233"/>
      <c r="C7" s="233"/>
      <c r="D7" s="233"/>
      <c r="E7" s="233"/>
    </row>
    <row r="8" spans="1:11" ht="32.25" customHeight="1">
      <c r="A8" s="234" t="s">
        <v>5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</row>
    <row r="9" spans="1:5" ht="15">
      <c r="A9" s="4"/>
      <c r="B9" s="3"/>
      <c r="C9" s="3"/>
      <c r="D9" s="3"/>
      <c r="E9" s="3"/>
    </row>
    <row r="10" spans="1:5" ht="15">
      <c r="A10" s="233" t="s">
        <v>6</v>
      </c>
      <c r="B10" s="233"/>
      <c r="C10" s="233"/>
      <c r="D10" s="233"/>
      <c r="E10" s="233"/>
    </row>
    <row r="11" spans="1:11" ht="18" customHeight="1">
      <c r="A11" s="234" t="s">
        <v>7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</row>
    <row r="12" spans="1:5" ht="15">
      <c r="A12" s="4"/>
      <c r="B12" s="3"/>
      <c r="C12" s="3"/>
      <c r="D12" s="3"/>
      <c r="E12" s="3"/>
    </row>
    <row r="13" spans="1:5" ht="15">
      <c r="A13" s="236" t="s">
        <v>8</v>
      </c>
      <c r="B13" s="236"/>
      <c r="C13" s="236"/>
      <c r="D13" s="236"/>
      <c r="E13" s="236"/>
    </row>
    <row r="14" spans="1:11" ht="39" customHeight="1">
      <c r="A14" s="234" t="s">
        <v>9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</row>
    <row r="15" spans="1:5" ht="15">
      <c r="A15" s="5"/>
      <c r="B15" s="3"/>
      <c r="C15" s="3"/>
      <c r="D15" s="3"/>
      <c r="E15" s="3"/>
    </row>
    <row r="16" spans="1:5" ht="15">
      <c r="A16" s="233" t="s">
        <v>10</v>
      </c>
      <c r="B16" s="233"/>
      <c r="C16" s="233"/>
      <c r="D16" s="233"/>
      <c r="E16" s="233"/>
    </row>
    <row r="17" spans="1:11" ht="61.5" customHeight="1">
      <c r="A17" s="234" t="s">
        <v>11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</row>
    <row r="18" spans="1:5" ht="15">
      <c r="A18" s="4"/>
      <c r="B18" s="3"/>
      <c r="C18" s="3"/>
      <c r="D18" s="3"/>
      <c r="E18" s="3"/>
    </row>
    <row r="19" spans="1:5" ht="15">
      <c r="A19" s="233" t="s">
        <v>12</v>
      </c>
      <c r="B19" s="233"/>
      <c r="C19" s="233"/>
      <c r="D19" s="233"/>
      <c r="E19" s="233"/>
    </row>
    <row r="20" spans="1:11" ht="20.25" customHeight="1">
      <c r="A20" s="234" t="s">
        <v>13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</row>
    <row r="21" spans="1:11" ht="22.5" customHeight="1">
      <c r="A21" s="234" t="s">
        <v>14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</row>
    <row r="22" spans="1:11" ht="34.5" customHeight="1">
      <c r="A22" s="234" t="s">
        <v>15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</row>
    <row r="23" spans="1:11" ht="36.75" customHeight="1">
      <c r="A23" s="234" t="s">
        <v>16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</row>
    <row r="24" spans="1:5" ht="15.75" customHeight="1">
      <c r="A24" s="235" t="s">
        <v>17</v>
      </c>
      <c r="B24" s="235"/>
      <c r="C24" s="235"/>
      <c r="D24" s="235"/>
      <c r="E24" s="235"/>
    </row>
    <row r="25" ht="15">
      <c r="A25" s="4"/>
    </row>
  </sheetData>
  <sheetProtection selectLockedCells="1" selectUnlockedCells="1"/>
  <mergeCells count="17">
    <mergeCell ref="A20:K20"/>
    <mergeCell ref="A21:K21"/>
    <mergeCell ref="A22:K22"/>
    <mergeCell ref="A23:K23"/>
    <mergeCell ref="A24:E24"/>
    <mergeCell ref="A11:K11"/>
    <mergeCell ref="A13:E13"/>
    <mergeCell ref="A14:K14"/>
    <mergeCell ref="A16:E16"/>
    <mergeCell ref="A17:K17"/>
    <mergeCell ref="A19:E19"/>
    <mergeCell ref="A3:E3"/>
    <mergeCell ref="A4:K4"/>
    <mergeCell ref="A5:K5"/>
    <mergeCell ref="A7:E7"/>
    <mergeCell ref="A8:K8"/>
    <mergeCell ref="A10:E10"/>
  </mergeCells>
  <printOptions/>
  <pageMargins left="0.7" right="0.7" top="0.75" bottom="0.75" header="0.5118055555555555" footer="0.5118055555555555"/>
  <pageSetup horizontalDpi="300" verticalDpi="3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view="pageBreakPreview" zoomScale="60" zoomScaleNormal="120" zoomScalePageLayoutView="0" workbookViewId="0" topLeftCell="A1">
      <selection activeCell="A2" sqref="A2"/>
    </sheetView>
  </sheetViews>
  <sheetFormatPr defaultColWidth="8.7109375" defaultRowHeight="12.75"/>
  <cols>
    <col min="1" max="1" width="50.421875" style="6" customWidth="1"/>
    <col min="2" max="2" width="11.140625" style="6" customWidth="1"/>
    <col min="3" max="3" width="11.28125" style="6" customWidth="1"/>
    <col min="4" max="4" width="12.140625" style="6" customWidth="1"/>
    <col min="5" max="16384" width="8.7109375" style="6" customWidth="1"/>
  </cols>
  <sheetData>
    <row r="1" spans="1:4" ht="14.25">
      <c r="A1" s="237" t="s">
        <v>18</v>
      </c>
      <c r="B1" s="237"/>
      <c r="C1" s="237"/>
      <c r="D1" s="237"/>
    </row>
    <row r="2" ht="14.25">
      <c r="A2" s="7"/>
    </row>
    <row r="3" spans="1:4" ht="14.25">
      <c r="A3" s="8" t="s">
        <v>19</v>
      </c>
      <c r="B3" s="9"/>
      <c r="C3" s="9"/>
      <c r="D3" s="9"/>
    </row>
    <row r="4" spans="1:4" ht="14.25">
      <c r="A4" s="9"/>
      <c r="B4" s="9"/>
      <c r="C4" s="9"/>
      <c r="D4" s="9"/>
    </row>
    <row r="5" spans="1:4" ht="14.25">
      <c r="A5" s="10" t="s">
        <v>20</v>
      </c>
      <c r="B5" s="11" t="s">
        <v>21</v>
      </c>
      <c r="C5" s="11" t="s">
        <v>22</v>
      </c>
      <c r="D5" s="12" t="s">
        <v>23</v>
      </c>
    </row>
    <row r="6" spans="1:4" ht="14.25">
      <c r="A6" s="13" t="s">
        <v>24</v>
      </c>
      <c r="B6" s="14">
        <v>0.5</v>
      </c>
      <c r="C6" s="15">
        <v>32.68</v>
      </c>
      <c r="D6" s="16">
        <f aca="true" t="shared" si="0" ref="D6:D13">(B6*2080)*C6</f>
        <v>33987.2</v>
      </c>
    </row>
    <row r="7" spans="1:4" ht="14.25">
      <c r="A7" s="17" t="s">
        <v>25</v>
      </c>
      <c r="B7" s="14">
        <v>2</v>
      </c>
      <c r="C7" s="18">
        <v>26.87</v>
      </c>
      <c r="D7" s="19">
        <f t="shared" si="0"/>
        <v>111779.2</v>
      </c>
    </row>
    <row r="8" spans="1:4" ht="14.25">
      <c r="A8" s="17" t="s">
        <v>26</v>
      </c>
      <c r="B8" s="14">
        <v>1</v>
      </c>
      <c r="C8" s="18">
        <v>24.69</v>
      </c>
      <c r="D8" s="19">
        <f t="shared" si="0"/>
        <v>51355.200000000004</v>
      </c>
    </row>
    <row r="9" spans="1:4" ht="14.25">
      <c r="A9" s="17" t="s">
        <v>27</v>
      </c>
      <c r="B9" s="14">
        <v>1</v>
      </c>
      <c r="C9" s="18">
        <f>C7*1.05</f>
        <v>28.213500000000003</v>
      </c>
      <c r="D9" s="19">
        <f t="shared" si="0"/>
        <v>58684.08000000001</v>
      </c>
    </row>
    <row r="10" spans="1:4" ht="14.25">
      <c r="A10" s="17" t="s">
        <v>28</v>
      </c>
      <c r="B10" s="14">
        <v>0.5</v>
      </c>
      <c r="C10" s="18">
        <v>41</v>
      </c>
      <c r="D10" s="19">
        <f t="shared" si="0"/>
        <v>42640</v>
      </c>
    </row>
    <row r="11" spans="1:4" ht="14.25">
      <c r="A11" s="17" t="s">
        <v>29</v>
      </c>
      <c r="B11" s="20">
        <v>1</v>
      </c>
      <c r="C11" s="21">
        <v>22</v>
      </c>
      <c r="D11" s="19">
        <f t="shared" si="0"/>
        <v>45760</v>
      </c>
    </row>
    <row r="12" spans="1:4" ht="14.25">
      <c r="A12" s="17" t="s">
        <v>30</v>
      </c>
      <c r="B12" s="22">
        <v>1</v>
      </c>
      <c r="C12" s="21">
        <v>24</v>
      </c>
      <c r="D12" s="19">
        <f t="shared" si="0"/>
        <v>49920</v>
      </c>
    </row>
    <row r="13" spans="1:4" ht="14.25">
      <c r="A13" s="23"/>
      <c r="B13" s="22"/>
      <c r="C13" s="21"/>
      <c r="D13" s="19">
        <f t="shared" si="0"/>
        <v>0</v>
      </c>
    </row>
    <row r="14" spans="1:4" ht="14.25">
      <c r="A14" s="17" t="s">
        <v>31</v>
      </c>
      <c r="B14" s="24"/>
      <c r="C14" s="21"/>
      <c r="D14" s="25">
        <f>SUM(D6:D13)</f>
        <v>394125.68000000005</v>
      </c>
    </row>
    <row r="15" spans="1:4" ht="14.25">
      <c r="A15" s="17" t="str">
        <f>"Taxes &amp; Benefits @ "&amp;$B$38</f>
        <v>Taxes &amp; Benefits @ 0.32</v>
      </c>
      <c r="B15" s="24"/>
      <c r="C15" s="26"/>
      <c r="D15" s="25">
        <f>D14*$B$38</f>
        <v>126120.21760000002</v>
      </c>
    </row>
    <row r="16" spans="1:4" ht="14.25">
      <c r="A16" s="27" t="s">
        <v>32</v>
      </c>
      <c r="B16" s="28">
        <f>SUM(B6:B15)</f>
        <v>7</v>
      </c>
      <c r="C16" s="29"/>
      <c r="D16" s="30">
        <f>+D15+D14</f>
        <v>520245.8976000001</v>
      </c>
    </row>
    <row r="17" spans="1:4" ht="14.25">
      <c r="A17" s="9"/>
      <c r="B17" s="9"/>
      <c r="C17" s="9"/>
      <c r="D17" s="9"/>
    </row>
    <row r="19" spans="1:4" ht="14.25">
      <c r="A19" s="8" t="s">
        <v>33</v>
      </c>
      <c r="B19" s="9"/>
      <c r="C19" s="9"/>
      <c r="D19" s="9"/>
    </row>
    <row r="20" spans="1:4" ht="14.25">
      <c r="A20" s="9"/>
      <c r="B20" s="9"/>
      <c r="C20" s="9"/>
      <c r="D20" s="9"/>
    </row>
    <row r="21" spans="1:4" ht="14.25">
      <c r="A21" s="10" t="s">
        <v>20</v>
      </c>
      <c r="B21" s="11" t="s">
        <v>21</v>
      </c>
      <c r="C21" s="11" t="s">
        <v>22</v>
      </c>
      <c r="D21" s="12" t="s">
        <v>23</v>
      </c>
    </row>
    <row r="22" spans="1:4" ht="14.25">
      <c r="A22" s="13" t="s">
        <v>34</v>
      </c>
      <c r="B22" s="14">
        <v>0.65</v>
      </c>
      <c r="C22" s="15">
        <v>60.56</v>
      </c>
      <c r="D22" s="16">
        <f aca="true" t="shared" si="1" ref="D22:D29">(B22*2080)*C22</f>
        <v>81877.12000000001</v>
      </c>
    </row>
    <row r="23" spans="1:4" ht="14.25">
      <c r="A23" s="17" t="s">
        <v>35</v>
      </c>
      <c r="B23" s="14">
        <v>0.5</v>
      </c>
      <c r="C23" s="18">
        <v>38.22</v>
      </c>
      <c r="D23" s="19">
        <f t="shared" si="1"/>
        <v>39748.799999999996</v>
      </c>
    </row>
    <row r="24" spans="1:4" ht="14.25">
      <c r="A24" s="17" t="s">
        <v>36</v>
      </c>
      <c r="B24" s="14">
        <v>0.25</v>
      </c>
      <c r="C24" s="18">
        <v>28.85</v>
      </c>
      <c r="D24" s="19">
        <f t="shared" si="1"/>
        <v>15002</v>
      </c>
    </row>
    <row r="25" spans="1:4" ht="14.25">
      <c r="A25" s="17" t="s">
        <v>37</v>
      </c>
      <c r="B25" s="14">
        <v>0.25</v>
      </c>
      <c r="C25" s="18">
        <v>22.68</v>
      </c>
      <c r="D25" s="19">
        <f t="shared" si="1"/>
        <v>11793.6</v>
      </c>
    </row>
    <row r="26" spans="1:4" ht="14.25">
      <c r="A26" s="17" t="s">
        <v>38</v>
      </c>
      <c r="B26" s="14">
        <v>0.5</v>
      </c>
      <c r="C26" s="18">
        <v>33.68</v>
      </c>
      <c r="D26" s="19">
        <f t="shared" si="1"/>
        <v>35027.2</v>
      </c>
    </row>
    <row r="27" spans="1:4" ht="14.25">
      <c r="A27" s="17" t="s">
        <v>39</v>
      </c>
      <c r="B27" s="14">
        <v>0.5</v>
      </c>
      <c r="C27" s="18">
        <v>36.84</v>
      </c>
      <c r="D27" s="19">
        <f t="shared" si="1"/>
        <v>38313.600000000006</v>
      </c>
    </row>
    <row r="28" spans="1:4" ht="14.25">
      <c r="A28" s="17" t="s">
        <v>40</v>
      </c>
      <c r="B28" s="20">
        <v>0.5</v>
      </c>
      <c r="C28" s="21">
        <v>38</v>
      </c>
      <c r="D28" s="19">
        <f t="shared" si="1"/>
        <v>39520</v>
      </c>
    </row>
    <row r="29" spans="1:4" ht="14.25">
      <c r="A29" s="17" t="s">
        <v>41</v>
      </c>
      <c r="B29" s="20">
        <v>0.75</v>
      </c>
      <c r="C29" s="21">
        <v>27</v>
      </c>
      <c r="D29" s="19">
        <f t="shared" si="1"/>
        <v>42120</v>
      </c>
    </row>
    <row r="30" spans="1:4" ht="14.25">
      <c r="A30" s="17" t="s">
        <v>42</v>
      </c>
      <c r="B30" s="20">
        <v>1</v>
      </c>
      <c r="C30" s="21">
        <v>24.5</v>
      </c>
      <c r="D30" s="19">
        <f>(B30*2080)*C30</f>
        <v>50960</v>
      </c>
    </row>
    <row r="31" spans="1:4" ht="14.25">
      <c r="A31" s="17"/>
      <c r="B31" s="20"/>
      <c r="C31" s="21"/>
      <c r="D31" s="19">
        <f>(B31*2080)*C31</f>
        <v>0</v>
      </c>
    </row>
    <row r="32" spans="1:4" ht="14.25">
      <c r="A32" s="17"/>
      <c r="B32" s="20"/>
      <c r="C32" s="21"/>
      <c r="D32" s="19">
        <f>(B32*2080)*C32</f>
        <v>0</v>
      </c>
    </row>
    <row r="33" spans="1:4" ht="14.25">
      <c r="A33" s="17"/>
      <c r="B33" s="20"/>
      <c r="C33" s="21"/>
      <c r="D33" s="19">
        <f>(B33*2080)*C33</f>
        <v>0</v>
      </c>
    </row>
    <row r="34" spans="1:4" ht="14.25">
      <c r="A34" s="17" t="s">
        <v>31</v>
      </c>
      <c r="B34" s="20"/>
      <c r="C34" s="21"/>
      <c r="D34" s="25">
        <f>SUM(D22:D33)</f>
        <v>354362.32000000007</v>
      </c>
    </row>
    <row r="35" spans="1:4" ht="14.25">
      <c r="A35" s="17" t="str">
        <f>"Taxes &amp; Benefits @ "&amp;$B$38</f>
        <v>Taxes &amp; Benefits @ 0.32</v>
      </c>
      <c r="B35" s="24"/>
      <c r="C35" s="26"/>
      <c r="D35" s="25">
        <f>D34*$B$38</f>
        <v>113395.94240000003</v>
      </c>
    </row>
    <row r="36" spans="1:4" ht="14.25">
      <c r="A36" s="27" t="s">
        <v>32</v>
      </c>
      <c r="B36" s="28">
        <f>SUM(B22:B35)</f>
        <v>4.9</v>
      </c>
      <c r="C36" s="29"/>
      <c r="D36" s="30">
        <f>+D35+D34</f>
        <v>467758.2624000001</v>
      </c>
    </row>
    <row r="37" spans="1:4" ht="14.25">
      <c r="A37" s="9"/>
      <c r="B37" s="9"/>
      <c r="C37" s="9"/>
      <c r="D37" s="9"/>
    </row>
    <row r="38" spans="1:4" ht="14.25">
      <c r="A38" s="9" t="s">
        <v>43</v>
      </c>
      <c r="B38" s="31">
        <v>0.32</v>
      </c>
      <c r="C38" s="9"/>
      <c r="D38" s="9"/>
    </row>
    <row r="39" spans="1:4" ht="14.25">
      <c r="A39" s="32"/>
      <c r="B39" s="33"/>
      <c r="C39" s="9"/>
      <c r="D39" s="9"/>
    </row>
    <row r="40" spans="1:2" ht="14.25">
      <c r="A40" s="238" t="s">
        <v>44</v>
      </c>
      <c r="B40" s="238"/>
    </row>
    <row r="41" spans="1:2" ht="14.25">
      <c r="A41" s="34" t="s">
        <v>45</v>
      </c>
      <c r="B41" s="35">
        <v>33600</v>
      </c>
    </row>
    <row r="42" spans="1:2" ht="14.25">
      <c r="A42" s="36"/>
      <c r="B42" s="37"/>
    </row>
    <row r="43" spans="1:2" ht="14.25">
      <c r="A43" s="38" t="s">
        <v>46</v>
      </c>
      <c r="B43" s="37">
        <v>9500</v>
      </c>
    </row>
    <row r="44" spans="1:2" ht="14.25">
      <c r="A44" s="39"/>
      <c r="B44" s="37"/>
    </row>
    <row r="45" spans="1:2" ht="14.25">
      <c r="A45" s="40" t="s">
        <v>47</v>
      </c>
      <c r="B45" s="37"/>
    </row>
    <row r="46" spans="1:2" ht="14.25">
      <c r="A46" s="36" t="s">
        <v>48</v>
      </c>
      <c r="B46" s="41">
        <v>168500</v>
      </c>
    </row>
    <row r="47" spans="1:2" ht="14.25">
      <c r="A47" s="36" t="s">
        <v>49</v>
      </c>
      <c r="B47" s="41">
        <v>224000</v>
      </c>
    </row>
    <row r="48" spans="1:2" ht="14.25">
      <c r="A48" s="39"/>
      <c r="B48" s="37"/>
    </row>
    <row r="49" spans="1:2" ht="14.25">
      <c r="A49" s="40" t="s">
        <v>50</v>
      </c>
      <c r="B49" s="37">
        <v>93000</v>
      </c>
    </row>
    <row r="50" spans="1:2" ht="14.25">
      <c r="A50" s="39"/>
      <c r="B50" s="42"/>
    </row>
    <row r="51" spans="1:2" ht="14.25">
      <c r="A51" s="43" t="s">
        <v>51</v>
      </c>
      <c r="B51" s="44">
        <f>+B49+B47+B46+B41+D36+D16</f>
        <v>1507104.1600000001</v>
      </c>
    </row>
  </sheetData>
  <sheetProtection selectLockedCells="1" selectUnlockedCells="1"/>
  <mergeCells count="2">
    <mergeCell ref="A1:D1"/>
    <mergeCell ref="A40:B40"/>
  </mergeCells>
  <printOptions/>
  <pageMargins left="0.5" right="0.5" top="0.25" bottom="0.25" header="0.5118055555555555" footer="0.5118055555555555"/>
  <pageSetup fitToWidth="0" fitToHeight="1" horizontalDpi="300" verticalDpi="300" orientation="portrait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view="pageBreakPreview" zoomScale="60" zoomScaleNormal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8.7109375" defaultRowHeight="12.75"/>
  <cols>
    <col min="1" max="1" width="14.421875" style="45" customWidth="1"/>
    <col min="2" max="2" width="11.7109375" style="45" customWidth="1"/>
    <col min="3" max="12" width="10.7109375" style="45" customWidth="1"/>
    <col min="13" max="13" width="11.7109375" style="45" customWidth="1"/>
    <col min="14" max="14" width="12.00390625" style="45" customWidth="1"/>
    <col min="15" max="15" width="10.7109375" style="45" customWidth="1"/>
    <col min="16" max="17" width="12.28125" style="45" customWidth="1"/>
    <col min="18" max="18" width="11.7109375" style="45" customWidth="1"/>
    <col min="19" max="19" width="10.7109375" style="45" customWidth="1"/>
    <col min="20" max="16384" width="8.7109375" style="45" customWidth="1"/>
  </cols>
  <sheetData>
    <row r="1" spans="1:19" ht="23.25" customHeight="1">
      <c r="A1" s="239" t="s">
        <v>52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</row>
    <row r="2" spans="1:19" ht="23.25" customHeight="1">
      <c r="A2" s="240" t="s">
        <v>53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33.75" customHeight="1">
      <c r="A3" s="46" t="s">
        <v>54</v>
      </c>
      <c r="B3" s="47" t="s">
        <v>55</v>
      </c>
      <c r="C3" s="47" t="s">
        <v>56</v>
      </c>
      <c r="D3" s="47" t="s">
        <v>57</v>
      </c>
      <c r="E3" s="47" t="s">
        <v>58</v>
      </c>
      <c r="F3" s="47" t="s">
        <v>59</v>
      </c>
      <c r="G3" s="47" t="s">
        <v>60</v>
      </c>
      <c r="H3" s="47" t="s">
        <v>61</v>
      </c>
      <c r="I3" s="47" t="s">
        <v>62</v>
      </c>
      <c r="J3" s="47" t="s">
        <v>63</v>
      </c>
      <c r="K3" s="47" t="s">
        <v>64</v>
      </c>
      <c r="L3" s="47" t="s">
        <v>65</v>
      </c>
      <c r="M3" s="48" t="s">
        <v>66</v>
      </c>
      <c r="N3" s="49" t="s">
        <v>67</v>
      </c>
      <c r="O3" s="47" t="s">
        <v>68</v>
      </c>
      <c r="P3" s="47" t="s">
        <v>69</v>
      </c>
      <c r="Q3" s="47" t="s">
        <v>70</v>
      </c>
      <c r="R3" s="47" t="s">
        <v>71</v>
      </c>
      <c r="S3" s="241" t="s">
        <v>72</v>
      </c>
    </row>
    <row r="4" spans="1:19" ht="15" customHeight="1">
      <c r="A4" s="50" t="s">
        <v>73</v>
      </c>
      <c r="B4" s="51" t="s">
        <v>74</v>
      </c>
      <c r="C4" s="51" t="s">
        <v>75</v>
      </c>
      <c r="D4" s="51" t="s">
        <v>76</v>
      </c>
      <c r="E4" s="51" t="s">
        <v>77</v>
      </c>
      <c r="F4" s="51" t="s">
        <v>78</v>
      </c>
      <c r="G4" s="51" t="s">
        <v>79</v>
      </c>
      <c r="H4" s="51">
        <v>90846</v>
      </c>
      <c r="I4" s="51" t="s">
        <v>80</v>
      </c>
      <c r="J4" s="51" t="s">
        <v>81</v>
      </c>
      <c r="K4" s="51" t="s">
        <v>82</v>
      </c>
      <c r="L4" s="51" t="s">
        <v>83</v>
      </c>
      <c r="M4" s="52" t="s">
        <v>84</v>
      </c>
      <c r="N4" s="53" t="s">
        <v>78</v>
      </c>
      <c r="O4" s="51" t="s">
        <v>76</v>
      </c>
      <c r="P4" s="51" t="s">
        <v>85</v>
      </c>
      <c r="Q4" s="51" t="s">
        <v>86</v>
      </c>
      <c r="R4" s="51" t="s">
        <v>84</v>
      </c>
      <c r="S4" s="241"/>
    </row>
    <row r="5" spans="1:19" ht="26.25" customHeight="1">
      <c r="A5" s="50" t="s">
        <v>87</v>
      </c>
      <c r="B5" s="51">
        <v>4</v>
      </c>
      <c r="C5" s="51">
        <v>4</v>
      </c>
      <c r="D5" s="51">
        <v>6</v>
      </c>
      <c r="E5" s="51">
        <v>6</v>
      </c>
      <c r="F5" s="51">
        <v>4</v>
      </c>
      <c r="G5" s="51">
        <v>4</v>
      </c>
      <c r="H5" s="51">
        <v>6</v>
      </c>
      <c r="I5" s="51">
        <v>4</v>
      </c>
      <c r="J5" s="51">
        <v>1</v>
      </c>
      <c r="K5" s="51">
        <v>4</v>
      </c>
      <c r="L5" s="51">
        <v>1</v>
      </c>
      <c r="M5" s="52">
        <v>4</v>
      </c>
      <c r="N5" s="53">
        <v>4</v>
      </c>
      <c r="O5" s="51">
        <v>6</v>
      </c>
      <c r="P5" s="51">
        <v>4</v>
      </c>
      <c r="Q5" s="51">
        <v>4</v>
      </c>
      <c r="R5" s="51">
        <v>4</v>
      </c>
      <c r="S5" s="241"/>
    </row>
    <row r="6" spans="1:19" ht="20.25" customHeight="1">
      <c r="A6" s="54" t="s">
        <v>88</v>
      </c>
      <c r="B6" s="55">
        <v>29.63</v>
      </c>
      <c r="C6" s="55">
        <v>29.63</v>
      </c>
      <c r="D6" s="55">
        <v>29.63</v>
      </c>
      <c r="E6" s="55">
        <v>29.63</v>
      </c>
      <c r="F6" s="55">
        <v>29.63</v>
      </c>
      <c r="G6" s="55">
        <v>29.63</v>
      </c>
      <c r="H6" s="55">
        <v>29.63</v>
      </c>
      <c r="I6" s="55">
        <v>29.63</v>
      </c>
      <c r="J6" s="55">
        <v>29.63</v>
      </c>
      <c r="K6" s="55">
        <v>29.63</v>
      </c>
      <c r="L6" s="55">
        <v>29.63</v>
      </c>
      <c r="M6" s="56">
        <v>33.83</v>
      </c>
      <c r="N6" s="57">
        <v>29.63</v>
      </c>
      <c r="O6" s="55">
        <v>29.63</v>
      </c>
      <c r="P6" s="55">
        <v>20.89</v>
      </c>
      <c r="Q6" s="55">
        <v>20.89</v>
      </c>
      <c r="R6" s="55">
        <v>33.83</v>
      </c>
      <c r="S6" s="241"/>
    </row>
    <row r="7" spans="1:19" ht="15.75" customHeight="1">
      <c r="A7" s="58" t="s">
        <v>89</v>
      </c>
      <c r="B7" s="59">
        <v>8</v>
      </c>
      <c r="C7" s="59">
        <v>4</v>
      </c>
      <c r="D7" s="59">
        <v>18</v>
      </c>
      <c r="E7" s="59"/>
      <c r="F7" s="59">
        <v>8</v>
      </c>
      <c r="G7" s="59"/>
      <c r="H7" s="59"/>
      <c r="I7" s="59"/>
      <c r="J7" s="59">
        <v>2</v>
      </c>
      <c r="K7" s="59"/>
      <c r="L7" s="59">
        <v>1</v>
      </c>
      <c r="M7" s="60"/>
      <c r="N7" s="61"/>
      <c r="O7" s="62"/>
      <c r="P7" s="62"/>
      <c r="Q7" s="62"/>
      <c r="R7" s="62"/>
      <c r="S7" s="63">
        <f aca="true" t="shared" si="0" ref="S7:S22">SUM(B7:R7)</f>
        <v>41</v>
      </c>
    </row>
    <row r="8" spans="1:19" ht="15.75" customHeight="1">
      <c r="A8" s="58" t="s">
        <v>90</v>
      </c>
      <c r="B8" s="64">
        <v>4</v>
      </c>
      <c r="C8" s="64">
        <v>4</v>
      </c>
      <c r="D8" s="64">
        <v>18</v>
      </c>
      <c r="E8" s="64"/>
      <c r="F8" s="64">
        <v>8</v>
      </c>
      <c r="G8" s="64"/>
      <c r="H8" s="64"/>
      <c r="I8" s="64">
        <v>4</v>
      </c>
      <c r="J8" s="64">
        <v>1</v>
      </c>
      <c r="K8" s="64"/>
      <c r="L8" s="64">
        <v>1</v>
      </c>
      <c r="M8" s="65">
        <v>4</v>
      </c>
      <c r="N8" s="66"/>
      <c r="O8" s="67"/>
      <c r="P8" s="67"/>
      <c r="Q8" s="67"/>
      <c r="R8" s="67"/>
      <c r="S8" s="68">
        <f t="shared" si="0"/>
        <v>44</v>
      </c>
    </row>
    <row r="9" spans="1:19" ht="15.75" customHeight="1">
      <c r="A9" s="58" t="s">
        <v>91</v>
      </c>
      <c r="B9" s="64"/>
      <c r="C9" s="64"/>
      <c r="D9" s="64">
        <v>18</v>
      </c>
      <c r="E9" s="64"/>
      <c r="F9" s="64">
        <v>4</v>
      </c>
      <c r="G9" s="64"/>
      <c r="H9" s="64"/>
      <c r="I9" s="64"/>
      <c r="J9" s="64">
        <v>1</v>
      </c>
      <c r="K9" s="64"/>
      <c r="L9" s="64">
        <v>1</v>
      </c>
      <c r="M9" s="65">
        <v>4</v>
      </c>
      <c r="N9" s="66"/>
      <c r="O9" s="67"/>
      <c r="P9" s="67"/>
      <c r="Q9" s="67"/>
      <c r="R9" s="67"/>
      <c r="S9" s="68">
        <f t="shared" si="0"/>
        <v>28</v>
      </c>
    </row>
    <row r="10" spans="1:19" ht="15.75" customHeight="1">
      <c r="A10" s="69" t="s">
        <v>92</v>
      </c>
      <c r="B10" s="70"/>
      <c r="C10" s="70">
        <v>4</v>
      </c>
      <c r="D10" s="70">
        <v>18</v>
      </c>
      <c r="E10" s="70"/>
      <c r="F10" s="70">
        <v>4</v>
      </c>
      <c r="G10" s="70">
        <v>4</v>
      </c>
      <c r="H10" s="70"/>
      <c r="I10" s="70">
        <v>4</v>
      </c>
      <c r="J10" s="70">
        <v>1</v>
      </c>
      <c r="K10" s="70"/>
      <c r="L10" s="70">
        <v>1</v>
      </c>
      <c r="M10" s="71">
        <v>4</v>
      </c>
      <c r="N10" s="72"/>
      <c r="O10" s="73"/>
      <c r="P10" s="73"/>
      <c r="Q10" s="73"/>
      <c r="R10" s="73"/>
      <c r="S10" s="74">
        <f t="shared" si="0"/>
        <v>40</v>
      </c>
    </row>
    <row r="11" spans="1:19" ht="15.75" customHeight="1">
      <c r="A11" s="58" t="s">
        <v>93</v>
      </c>
      <c r="B11" s="75"/>
      <c r="C11" s="75"/>
      <c r="D11" s="75">
        <v>12</v>
      </c>
      <c r="E11" s="75">
        <v>6</v>
      </c>
      <c r="F11" s="75"/>
      <c r="G11" s="75"/>
      <c r="H11" s="75"/>
      <c r="I11" s="75"/>
      <c r="J11" s="75"/>
      <c r="K11" s="75"/>
      <c r="L11" s="75">
        <v>1</v>
      </c>
      <c r="M11" s="76">
        <v>2</v>
      </c>
      <c r="N11" s="77"/>
      <c r="O11" s="78"/>
      <c r="P11" s="78"/>
      <c r="Q11" s="78"/>
      <c r="R11" s="78"/>
      <c r="S11" s="79">
        <f t="shared" si="0"/>
        <v>21</v>
      </c>
    </row>
    <row r="12" spans="1:19" ht="15.75" customHeight="1">
      <c r="A12" s="58" t="s">
        <v>94</v>
      </c>
      <c r="B12" s="64"/>
      <c r="C12" s="64"/>
      <c r="D12" s="64">
        <v>12</v>
      </c>
      <c r="E12" s="64">
        <v>6</v>
      </c>
      <c r="F12" s="64">
        <v>4</v>
      </c>
      <c r="G12" s="64"/>
      <c r="H12" s="64"/>
      <c r="I12" s="64"/>
      <c r="J12" s="64"/>
      <c r="K12" s="64"/>
      <c r="L12" s="64">
        <v>1</v>
      </c>
      <c r="M12" s="65">
        <v>2</v>
      </c>
      <c r="N12" s="66"/>
      <c r="O12" s="67"/>
      <c r="P12" s="67"/>
      <c r="Q12" s="67"/>
      <c r="R12" s="67"/>
      <c r="S12" s="68">
        <f t="shared" si="0"/>
        <v>25</v>
      </c>
    </row>
    <row r="13" spans="1:19" ht="15.75" customHeight="1">
      <c r="A13" s="58" t="s">
        <v>95</v>
      </c>
      <c r="B13" s="64"/>
      <c r="C13" s="64"/>
      <c r="D13" s="64">
        <v>12</v>
      </c>
      <c r="E13" s="64">
        <v>6</v>
      </c>
      <c r="F13" s="64"/>
      <c r="G13" s="64"/>
      <c r="H13" s="64"/>
      <c r="I13" s="64"/>
      <c r="J13" s="64"/>
      <c r="K13" s="64"/>
      <c r="L13" s="64">
        <v>1</v>
      </c>
      <c r="M13" s="65">
        <v>2</v>
      </c>
      <c r="N13" s="66"/>
      <c r="O13" s="67"/>
      <c r="P13" s="67"/>
      <c r="Q13" s="67"/>
      <c r="R13" s="67"/>
      <c r="S13" s="68">
        <f t="shared" si="0"/>
        <v>21</v>
      </c>
    </row>
    <row r="14" spans="1:19" ht="15.75" customHeight="1">
      <c r="A14" s="58" t="s">
        <v>96</v>
      </c>
      <c r="B14" s="64"/>
      <c r="C14" s="64"/>
      <c r="D14" s="64">
        <v>12</v>
      </c>
      <c r="E14" s="64">
        <v>6</v>
      </c>
      <c r="F14" s="64">
        <v>4</v>
      </c>
      <c r="G14" s="64">
        <v>4</v>
      </c>
      <c r="H14" s="64"/>
      <c r="I14" s="64">
        <v>4</v>
      </c>
      <c r="J14" s="64"/>
      <c r="K14" s="64"/>
      <c r="L14" s="64">
        <v>1</v>
      </c>
      <c r="M14" s="65">
        <v>2</v>
      </c>
      <c r="N14" s="66"/>
      <c r="O14" s="67"/>
      <c r="P14" s="67"/>
      <c r="Q14" s="67"/>
      <c r="R14" s="67"/>
      <c r="S14" s="68">
        <f t="shared" si="0"/>
        <v>33</v>
      </c>
    </row>
    <row r="15" spans="1:19" ht="15.75" customHeight="1">
      <c r="A15" s="58" t="s">
        <v>97</v>
      </c>
      <c r="B15" s="64"/>
      <c r="C15" s="64"/>
      <c r="D15" s="64">
        <v>12</v>
      </c>
      <c r="E15" s="64">
        <v>6</v>
      </c>
      <c r="F15" s="64"/>
      <c r="G15" s="64"/>
      <c r="H15" s="64"/>
      <c r="I15" s="64"/>
      <c r="J15" s="64"/>
      <c r="K15" s="64"/>
      <c r="L15" s="64"/>
      <c r="M15" s="65"/>
      <c r="N15" s="66"/>
      <c r="O15" s="67"/>
      <c r="P15" s="67"/>
      <c r="Q15" s="67"/>
      <c r="R15" s="67"/>
      <c r="S15" s="68">
        <f t="shared" si="0"/>
        <v>18</v>
      </c>
    </row>
    <row r="16" spans="1:19" ht="15.75" customHeight="1">
      <c r="A16" s="58" t="s">
        <v>98</v>
      </c>
      <c r="B16" s="64"/>
      <c r="C16" s="64"/>
      <c r="D16" s="64">
        <v>12</v>
      </c>
      <c r="E16" s="64">
        <v>6</v>
      </c>
      <c r="F16" s="64">
        <v>4</v>
      </c>
      <c r="G16" s="64"/>
      <c r="H16" s="64"/>
      <c r="I16" s="64"/>
      <c r="J16" s="64"/>
      <c r="K16" s="64"/>
      <c r="L16" s="64">
        <v>1</v>
      </c>
      <c r="M16" s="65">
        <v>2</v>
      </c>
      <c r="N16" s="66"/>
      <c r="O16" s="67"/>
      <c r="P16" s="67"/>
      <c r="Q16" s="67"/>
      <c r="R16" s="67"/>
      <c r="S16" s="68">
        <f t="shared" si="0"/>
        <v>25</v>
      </c>
    </row>
    <row r="17" spans="1:19" ht="15.75" customHeight="1">
      <c r="A17" s="58" t="s">
        <v>99</v>
      </c>
      <c r="B17" s="64"/>
      <c r="C17" s="64"/>
      <c r="D17" s="64">
        <v>12</v>
      </c>
      <c r="E17" s="64">
        <v>6</v>
      </c>
      <c r="F17" s="64"/>
      <c r="G17" s="64"/>
      <c r="H17" s="64"/>
      <c r="I17" s="64"/>
      <c r="J17" s="64"/>
      <c r="K17" s="64"/>
      <c r="L17" s="64"/>
      <c r="M17" s="65"/>
      <c r="N17" s="66"/>
      <c r="O17" s="67"/>
      <c r="P17" s="67"/>
      <c r="Q17" s="67"/>
      <c r="R17" s="67"/>
      <c r="S17" s="68">
        <f t="shared" si="0"/>
        <v>18</v>
      </c>
    </row>
    <row r="18" spans="1:19" ht="15.75" customHeight="1">
      <c r="A18" s="58" t="s">
        <v>100</v>
      </c>
      <c r="B18" s="64"/>
      <c r="C18" s="64">
        <v>4</v>
      </c>
      <c r="D18" s="64">
        <v>12</v>
      </c>
      <c r="E18" s="64">
        <v>6</v>
      </c>
      <c r="F18" s="64">
        <v>4</v>
      </c>
      <c r="G18" s="64"/>
      <c r="H18" s="64"/>
      <c r="I18" s="64">
        <v>4</v>
      </c>
      <c r="J18" s="64"/>
      <c r="K18" s="64"/>
      <c r="L18" s="64">
        <v>1</v>
      </c>
      <c r="M18" s="65">
        <v>2</v>
      </c>
      <c r="N18" s="66"/>
      <c r="O18" s="67"/>
      <c r="P18" s="67"/>
      <c r="Q18" s="67"/>
      <c r="R18" s="67"/>
      <c r="S18" s="68">
        <f t="shared" si="0"/>
        <v>33</v>
      </c>
    </row>
    <row r="19" spans="1:19" ht="15.75" customHeight="1">
      <c r="A19" s="58" t="s">
        <v>101</v>
      </c>
      <c r="B19" s="64"/>
      <c r="C19" s="64"/>
      <c r="D19" s="64">
        <v>6</v>
      </c>
      <c r="E19" s="64"/>
      <c r="F19" s="64"/>
      <c r="G19" s="64"/>
      <c r="H19" s="64"/>
      <c r="I19" s="64"/>
      <c r="J19" s="64"/>
      <c r="K19" s="64">
        <v>4</v>
      </c>
      <c r="L19" s="64"/>
      <c r="M19" s="65"/>
      <c r="N19" s="66"/>
      <c r="O19" s="67"/>
      <c r="P19" s="67"/>
      <c r="Q19" s="67"/>
      <c r="R19" s="67"/>
      <c r="S19" s="68">
        <f t="shared" si="0"/>
        <v>10</v>
      </c>
    </row>
    <row r="20" spans="1:19" ht="15.75" customHeight="1">
      <c r="A20" s="58" t="s">
        <v>102</v>
      </c>
      <c r="B20" s="64"/>
      <c r="C20" s="64"/>
      <c r="D20" s="64">
        <v>6</v>
      </c>
      <c r="E20" s="64"/>
      <c r="F20" s="64">
        <v>2</v>
      </c>
      <c r="G20" s="64"/>
      <c r="H20" s="64"/>
      <c r="I20" s="64"/>
      <c r="J20" s="64"/>
      <c r="K20" s="64">
        <v>4</v>
      </c>
      <c r="L20" s="64">
        <v>1</v>
      </c>
      <c r="M20" s="65">
        <v>2</v>
      </c>
      <c r="N20" s="66"/>
      <c r="O20" s="67"/>
      <c r="P20" s="67"/>
      <c r="Q20" s="67"/>
      <c r="R20" s="67"/>
      <c r="S20" s="68">
        <f t="shared" si="0"/>
        <v>15</v>
      </c>
    </row>
    <row r="21" spans="1:19" ht="15.75" customHeight="1">
      <c r="A21" s="58" t="s">
        <v>103</v>
      </c>
      <c r="B21" s="64"/>
      <c r="C21" s="64"/>
      <c r="D21" s="64">
        <v>6</v>
      </c>
      <c r="E21" s="64"/>
      <c r="F21" s="64"/>
      <c r="G21" s="64"/>
      <c r="H21" s="64"/>
      <c r="I21" s="64"/>
      <c r="J21" s="64"/>
      <c r="K21" s="64">
        <v>4</v>
      </c>
      <c r="L21" s="64"/>
      <c r="M21" s="65"/>
      <c r="N21" s="66"/>
      <c r="O21" s="67"/>
      <c r="P21" s="67"/>
      <c r="Q21" s="67"/>
      <c r="R21" s="67"/>
      <c r="S21" s="68">
        <f t="shared" si="0"/>
        <v>10</v>
      </c>
    </row>
    <row r="22" spans="1:19" ht="15.75" customHeight="1">
      <c r="A22" s="69" t="s">
        <v>104</v>
      </c>
      <c r="B22" s="70"/>
      <c r="C22" s="70"/>
      <c r="D22" s="70">
        <v>6</v>
      </c>
      <c r="E22" s="70"/>
      <c r="F22" s="70">
        <v>2</v>
      </c>
      <c r="G22" s="70"/>
      <c r="H22" s="70"/>
      <c r="I22" s="70">
        <v>4</v>
      </c>
      <c r="J22" s="70"/>
      <c r="K22" s="70">
        <v>4</v>
      </c>
      <c r="L22" s="70">
        <v>1</v>
      </c>
      <c r="M22" s="71">
        <v>2</v>
      </c>
      <c r="N22" s="72"/>
      <c r="O22" s="73"/>
      <c r="P22" s="73"/>
      <c r="Q22" s="73"/>
      <c r="R22" s="73"/>
      <c r="S22" s="74">
        <f t="shared" si="0"/>
        <v>19</v>
      </c>
    </row>
    <row r="23" spans="1:19" ht="15.75" customHeight="1">
      <c r="A23" s="242" t="s">
        <v>105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</row>
    <row r="24" spans="1:19" ht="15.75" customHeight="1">
      <c r="A24" s="58" t="s">
        <v>106</v>
      </c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  <c r="N24" s="83">
        <v>4</v>
      </c>
      <c r="O24" s="83">
        <v>6</v>
      </c>
      <c r="P24" s="84"/>
      <c r="Q24" s="84"/>
      <c r="R24" s="84">
        <v>2</v>
      </c>
      <c r="S24" s="68">
        <f>SUM(B24:R24)</f>
        <v>12</v>
      </c>
    </row>
    <row r="25" spans="1:19" ht="15.75" customHeight="1">
      <c r="A25" s="58" t="s">
        <v>107</v>
      </c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2"/>
      <c r="N25" s="83">
        <v>4</v>
      </c>
      <c r="O25" s="83">
        <v>6</v>
      </c>
      <c r="P25" s="84"/>
      <c r="Q25" s="84"/>
      <c r="R25" s="84"/>
      <c r="S25" s="68">
        <f aca="true" t="shared" si="1" ref="S25:S55">SUM(B25:R25)</f>
        <v>10</v>
      </c>
    </row>
    <row r="26" spans="1:19" ht="15.75" customHeight="1">
      <c r="A26" s="58" t="s">
        <v>108</v>
      </c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2"/>
      <c r="N26" s="83"/>
      <c r="O26" s="83">
        <v>6</v>
      </c>
      <c r="P26" s="84">
        <v>2</v>
      </c>
      <c r="Q26" s="84"/>
      <c r="R26" s="84"/>
      <c r="S26" s="68">
        <f t="shared" si="1"/>
        <v>8</v>
      </c>
    </row>
    <row r="27" spans="1:19" ht="15.75" customHeight="1">
      <c r="A27" s="58" t="s">
        <v>109</v>
      </c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2"/>
      <c r="N27" s="83"/>
      <c r="O27" s="83">
        <v>6</v>
      </c>
      <c r="P27" s="84"/>
      <c r="Q27" s="84">
        <v>4</v>
      </c>
      <c r="R27" s="84">
        <v>2</v>
      </c>
      <c r="S27" s="68">
        <f t="shared" si="1"/>
        <v>12</v>
      </c>
    </row>
    <row r="28" spans="1:19" ht="15.75" customHeight="1">
      <c r="A28" s="58" t="s">
        <v>110</v>
      </c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  <c r="N28" s="83"/>
      <c r="O28" s="83">
        <v>6</v>
      </c>
      <c r="P28" s="84">
        <v>2</v>
      </c>
      <c r="Q28" s="84"/>
      <c r="R28" s="84"/>
      <c r="S28" s="68">
        <f t="shared" si="1"/>
        <v>8</v>
      </c>
    </row>
    <row r="29" spans="1:19" ht="15.75" customHeight="1">
      <c r="A29" s="58" t="s">
        <v>111</v>
      </c>
      <c r="B29" s="8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2"/>
      <c r="N29" s="83"/>
      <c r="O29" s="83">
        <v>6</v>
      </c>
      <c r="P29" s="84"/>
      <c r="Q29" s="84"/>
      <c r="R29" s="84">
        <v>2</v>
      </c>
      <c r="S29" s="68">
        <f t="shared" si="1"/>
        <v>8</v>
      </c>
    </row>
    <row r="30" spans="1:19" ht="15.75" customHeight="1">
      <c r="A30" s="58" t="s">
        <v>112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2"/>
      <c r="N30" s="83"/>
      <c r="O30" s="83">
        <v>6</v>
      </c>
      <c r="P30" s="84">
        <v>2</v>
      </c>
      <c r="Q30" s="84"/>
      <c r="R30" s="84"/>
      <c r="S30" s="68">
        <f t="shared" si="1"/>
        <v>8</v>
      </c>
    </row>
    <row r="31" spans="1:19" ht="15.75" customHeight="1">
      <c r="A31" s="58" t="s">
        <v>113</v>
      </c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2"/>
      <c r="N31" s="83"/>
      <c r="O31" s="83">
        <v>6</v>
      </c>
      <c r="P31" s="84"/>
      <c r="Q31" s="84">
        <v>4</v>
      </c>
      <c r="R31" s="84">
        <v>2</v>
      </c>
      <c r="S31" s="68">
        <f t="shared" si="1"/>
        <v>12</v>
      </c>
    </row>
    <row r="32" spans="1:19" ht="15.75" customHeight="1">
      <c r="A32" s="58" t="s">
        <v>114</v>
      </c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2"/>
      <c r="N32" s="83">
        <v>4</v>
      </c>
      <c r="O32" s="83"/>
      <c r="P32" s="84">
        <v>2</v>
      </c>
      <c r="Q32" s="84"/>
      <c r="R32" s="84"/>
      <c r="S32" s="68">
        <f t="shared" si="1"/>
        <v>6</v>
      </c>
    </row>
    <row r="33" spans="1:19" ht="15.75" customHeight="1">
      <c r="A33" s="58" t="s">
        <v>115</v>
      </c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/>
      <c r="N33" s="83"/>
      <c r="O33" s="83">
        <v>6</v>
      </c>
      <c r="P33" s="84"/>
      <c r="Q33" s="84"/>
      <c r="R33" s="84">
        <v>2</v>
      </c>
      <c r="S33" s="68">
        <f t="shared" si="1"/>
        <v>8</v>
      </c>
    </row>
    <row r="34" spans="1:19" ht="15.75" customHeight="1">
      <c r="A34" s="58" t="s">
        <v>116</v>
      </c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2"/>
      <c r="N34" s="83"/>
      <c r="O34" s="83"/>
      <c r="P34" s="84">
        <v>2</v>
      </c>
      <c r="Q34" s="84"/>
      <c r="R34" s="84"/>
      <c r="S34" s="68">
        <f t="shared" si="1"/>
        <v>2</v>
      </c>
    </row>
    <row r="35" spans="1:19" ht="15.75" customHeight="1">
      <c r="A35" s="58" t="s">
        <v>117</v>
      </c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83"/>
      <c r="O35" s="83">
        <v>6</v>
      </c>
      <c r="P35" s="84"/>
      <c r="Q35" s="84">
        <v>4</v>
      </c>
      <c r="R35" s="84">
        <v>2</v>
      </c>
      <c r="S35" s="68">
        <f t="shared" si="1"/>
        <v>12</v>
      </c>
    </row>
    <row r="36" spans="1:19" ht="15.75" customHeight="1">
      <c r="A36" s="58" t="s">
        <v>118</v>
      </c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2"/>
      <c r="N36" s="83"/>
      <c r="O36" s="83"/>
      <c r="P36" s="84">
        <v>2</v>
      </c>
      <c r="Q36" s="84"/>
      <c r="R36" s="84"/>
      <c r="S36" s="68">
        <f t="shared" si="1"/>
        <v>2</v>
      </c>
    </row>
    <row r="37" spans="1:19" ht="15.75" customHeight="1">
      <c r="A37" s="58" t="s">
        <v>119</v>
      </c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2"/>
      <c r="N37" s="83"/>
      <c r="O37" s="83">
        <v>6</v>
      </c>
      <c r="P37" s="84"/>
      <c r="Q37" s="84"/>
      <c r="R37" s="84">
        <v>2</v>
      </c>
      <c r="S37" s="68">
        <f t="shared" si="1"/>
        <v>8</v>
      </c>
    </row>
    <row r="38" spans="1:19" ht="15.75" customHeight="1">
      <c r="A38" s="58" t="s">
        <v>120</v>
      </c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2"/>
      <c r="N38" s="83"/>
      <c r="O38" s="83"/>
      <c r="P38" s="84">
        <v>2</v>
      </c>
      <c r="Q38" s="84"/>
      <c r="R38" s="84"/>
      <c r="S38" s="68">
        <f t="shared" si="1"/>
        <v>2</v>
      </c>
    </row>
    <row r="39" spans="1:19" ht="15.75" customHeight="1">
      <c r="A39" s="58" t="s">
        <v>121</v>
      </c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2"/>
      <c r="N39" s="83"/>
      <c r="O39" s="83">
        <v>6</v>
      </c>
      <c r="P39" s="84"/>
      <c r="Q39" s="84"/>
      <c r="R39" s="84">
        <v>2</v>
      </c>
      <c r="S39" s="68">
        <f t="shared" si="1"/>
        <v>8</v>
      </c>
    </row>
    <row r="40" spans="1:19" ht="15.75" customHeight="1">
      <c r="A40" s="58" t="s">
        <v>122</v>
      </c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2"/>
      <c r="N40" s="83"/>
      <c r="O40" s="83"/>
      <c r="P40" s="84">
        <v>2</v>
      </c>
      <c r="Q40" s="84"/>
      <c r="R40" s="84"/>
      <c r="S40" s="68">
        <f t="shared" si="1"/>
        <v>2</v>
      </c>
    </row>
    <row r="41" spans="1:19" ht="15.75" customHeight="1">
      <c r="A41" s="58" t="s">
        <v>123</v>
      </c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2"/>
      <c r="N41" s="83"/>
      <c r="O41" s="83">
        <v>6</v>
      </c>
      <c r="P41" s="84"/>
      <c r="Q41" s="84">
        <v>4</v>
      </c>
      <c r="R41" s="84">
        <v>2</v>
      </c>
      <c r="S41" s="68">
        <f t="shared" si="1"/>
        <v>12</v>
      </c>
    </row>
    <row r="42" spans="1:19" ht="15.75" customHeight="1">
      <c r="A42" s="58" t="s">
        <v>124</v>
      </c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2"/>
      <c r="N42" s="83"/>
      <c r="O42" s="83"/>
      <c r="P42" s="84">
        <v>2</v>
      </c>
      <c r="Q42" s="84"/>
      <c r="R42" s="84"/>
      <c r="S42" s="68">
        <f t="shared" si="1"/>
        <v>2</v>
      </c>
    </row>
    <row r="43" spans="1:19" ht="15.75" customHeight="1">
      <c r="A43" s="58" t="s">
        <v>125</v>
      </c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2"/>
      <c r="N43" s="83"/>
      <c r="O43" s="83">
        <v>6</v>
      </c>
      <c r="P43" s="84"/>
      <c r="Q43" s="84"/>
      <c r="R43" s="84">
        <v>2</v>
      </c>
      <c r="S43" s="68">
        <f t="shared" si="1"/>
        <v>8</v>
      </c>
    </row>
    <row r="44" spans="1:19" ht="15.75" customHeight="1">
      <c r="A44" s="58" t="s">
        <v>126</v>
      </c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2"/>
      <c r="N44" s="83"/>
      <c r="O44" s="83"/>
      <c r="P44" s="84">
        <v>2</v>
      </c>
      <c r="Q44" s="84"/>
      <c r="R44" s="84"/>
      <c r="S44" s="68">
        <f t="shared" si="1"/>
        <v>2</v>
      </c>
    </row>
    <row r="45" spans="1:19" ht="15.75" customHeight="1">
      <c r="A45" s="58" t="s">
        <v>127</v>
      </c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2"/>
      <c r="N45" s="83"/>
      <c r="O45" s="83">
        <v>6</v>
      </c>
      <c r="P45" s="84"/>
      <c r="Q45" s="84"/>
      <c r="R45" s="84">
        <v>2</v>
      </c>
      <c r="S45" s="68">
        <f t="shared" si="1"/>
        <v>8</v>
      </c>
    </row>
    <row r="46" spans="1:19" ht="15.75" customHeight="1">
      <c r="A46" s="58" t="s">
        <v>128</v>
      </c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2"/>
      <c r="N46" s="83"/>
      <c r="O46" s="83"/>
      <c r="P46" s="84">
        <v>2</v>
      </c>
      <c r="Q46" s="84"/>
      <c r="R46" s="84"/>
      <c r="S46" s="68">
        <f t="shared" si="1"/>
        <v>2</v>
      </c>
    </row>
    <row r="47" spans="1:19" ht="15.75" customHeight="1">
      <c r="A47" s="58" t="s">
        <v>129</v>
      </c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2"/>
      <c r="N47" s="83"/>
      <c r="O47" s="83">
        <v>6</v>
      </c>
      <c r="P47" s="84"/>
      <c r="Q47" s="84"/>
      <c r="R47" s="84">
        <v>2</v>
      </c>
      <c r="S47" s="68">
        <f t="shared" si="1"/>
        <v>8</v>
      </c>
    </row>
    <row r="48" spans="1:19" ht="15.75" customHeight="1">
      <c r="A48" s="58" t="s">
        <v>130</v>
      </c>
      <c r="B48" s="80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2"/>
      <c r="N48" s="83"/>
      <c r="O48" s="83"/>
      <c r="P48" s="84">
        <v>2</v>
      </c>
      <c r="Q48" s="84"/>
      <c r="R48" s="84"/>
      <c r="S48" s="68">
        <f t="shared" si="1"/>
        <v>2</v>
      </c>
    </row>
    <row r="49" spans="1:19" ht="15.75" customHeight="1">
      <c r="A49" s="58" t="s">
        <v>131</v>
      </c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2"/>
      <c r="N49" s="83"/>
      <c r="O49" s="83">
        <v>6</v>
      </c>
      <c r="P49" s="84"/>
      <c r="Q49" s="84"/>
      <c r="R49" s="84">
        <v>2</v>
      </c>
      <c r="S49" s="68">
        <f t="shared" si="1"/>
        <v>8</v>
      </c>
    </row>
    <row r="50" spans="1:19" ht="15.75" customHeight="1">
      <c r="A50" s="58" t="s">
        <v>132</v>
      </c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2"/>
      <c r="N50" s="83"/>
      <c r="O50" s="83"/>
      <c r="P50" s="84">
        <v>2</v>
      </c>
      <c r="Q50" s="84"/>
      <c r="R50" s="84"/>
      <c r="S50" s="68">
        <f t="shared" si="1"/>
        <v>2</v>
      </c>
    </row>
    <row r="51" spans="1:19" ht="15.75" customHeight="1">
      <c r="A51" s="58" t="s">
        <v>133</v>
      </c>
      <c r="B51" s="80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2"/>
      <c r="N51" s="83"/>
      <c r="O51" s="83">
        <v>6</v>
      </c>
      <c r="P51" s="84"/>
      <c r="Q51" s="84"/>
      <c r="R51" s="84">
        <v>2</v>
      </c>
      <c r="S51" s="68">
        <f t="shared" si="1"/>
        <v>8</v>
      </c>
    </row>
    <row r="52" spans="1:19" ht="15.75" customHeight="1">
      <c r="A52" s="58" t="s">
        <v>134</v>
      </c>
      <c r="B52" s="80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2"/>
      <c r="N52" s="83"/>
      <c r="O52" s="83"/>
      <c r="P52" s="84">
        <v>2</v>
      </c>
      <c r="Q52" s="84"/>
      <c r="R52" s="84"/>
      <c r="S52" s="68">
        <f t="shared" si="1"/>
        <v>2</v>
      </c>
    </row>
    <row r="53" spans="1:19" ht="15.75" customHeight="1">
      <c r="A53" s="58" t="s">
        <v>135</v>
      </c>
      <c r="B53" s="80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2"/>
      <c r="N53" s="83"/>
      <c r="O53" s="83">
        <v>6</v>
      </c>
      <c r="P53" s="84"/>
      <c r="Q53" s="84"/>
      <c r="R53" s="84">
        <v>2</v>
      </c>
      <c r="S53" s="68">
        <f t="shared" si="1"/>
        <v>8</v>
      </c>
    </row>
    <row r="54" spans="1:19" ht="15.75" customHeight="1">
      <c r="A54" s="58" t="s">
        <v>136</v>
      </c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2"/>
      <c r="N54" s="83"/>
      <c r="O54" s="83"/>
      <c r="P54" s="84">
        <v>2</v>
      </c>
      <c r="Q54" s="84"/>
      <c r="R54" s="84"/>
      <c r="S54" s="68">
        <f t="shared" si="1"/>
        <v>2</v>
      </c>
    </row>
    <row r="55" spans="1:19" ht="15.75" customHeight="1">
      <c r="A55" s="85" t="s">
        <v>137</v>
      </c>
      <c r="B55" s="8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2"/>
      <c r="N55" s="83"/>
      <c r="O55" s="83">
        <v>6</v>
      </c>
      <c r="P55" s="84"/>
      <c r="Q55" s="84"/>
      <c r="R55" s="84">
        <v>2</v>
      </c>
      <c r="S55" s="68">
        <f t="shared" si="1"/>
        <v>8</v>
      </c>
    </row>
    <row r="56" ht="13.5">
      <c r="S56" s="86"/>
    </row>
    <row r="57" spans="1:19" ht="13.5">
      <c r="A57" s="45" t="s">
        <v>138</v>
      </c>
      <c r="B57" s="87">
        <f aca="true" t="shared" si="2" ref="B57:I57">SUM(B7:B56)</f>
        <v>12</v>
      </c>
      <c r="C57" s="87">
        <f t="shared" si="2"/>
        <v>16</v>
      </c>
      <c r="D57" s="87">
        <f t="shared" si="2"/>
        <v>192</v>
      </c>
      <c r="E57" s="87">
        <f t="shared" si="2"/>
        <v>48</v>
      </c>
      <c r="F57" s="87">
        <f t="shared" si="2"/>
        <v>44</v>
      </c>
      <c r="G57" s="87">
        <f t="shared" si="2"/>
        <v>8</v>
      </c>
      <c r="H57" s="87">
        <f t="shared" si="2"/>
        <v>0</v>
      </c>
      <c r="I57" s="87">
        <f t="shared" si="2"/>
        <v>20</v>
      </c>
      <c r="J57" s="87">
        <f aca="true" t="shared" si="3" ref="J57:R57">SUM(J7:J56)</f>
        <v>5</v>
      </c>
      <c r="K57" s="87">
        <f t="shared" si="3"/>
        <v>16</v>
      </c>
      <c r="L57" s="87">
        <f t="shared" si="3"/>
        <v>12</v>
      </c>
      <c r="M57" s="88">
        <f t="shared" si="3"/>
        <v>28</v>
      </c>
      <c r="N57" s="87">
        <f t="shared" si="3"/>
        <v>12</v>
      </c>
      <c r="O57" s="87">
        <f t="shared" si="3"/>
        <v>120</v>
      </c>
      <c r="P57" s="87">
        <f t="shared" si="3"/>
        <v>30</v>
      </c>
      <c r="Q57" s="87">
        <f t="shared" si="3"/>
        <v>16</v>
      </c>
      <c r="R57" s="87">
        <f t="shared" si="3"/>
        <v>32</v>
      </c>
      <c r="S57" s="87">
        <f>SUM(B57:R57)</f>
        <v>611</v>
      </c>
    </row>
    <row r="58" spans="1:19" ht="13.5">
      <c r="A58" s="45" t="s">
        <v>139</v>
      </c>
      <c r="B58" s="89">
        <f aca="true" t="shared" si="4" ref="B58:I58">ROUND(B57*B6,2)</f>
        <v>355.56</v>
      </c>
      <c r="C58" s="89">
        <f t="shared" si="4"/>
        <v>474.08</v>
      </c>
      <c r="D58" s="89">
        <f t="shared" si="4"/>
        <v>5688.96</v>
      </c>
      <c r="E58" s="89">
        <f t="shared" si="4"/>
        <v>1422.24</v>
      </c>
      <c r="F58" s="89">
        <f t="shared" si="4"/>
        <v>1303.72</v>
      </c>
      <c r="G58" s="89">
        <f t="shared" si="4"/>
        <v>237.04</v>
      </c>
      <c r="H58" s="89">
        <f t="shared" si="4"/>
        <v>0</v>
      </c>
      <c r="I58" s="89">
        <f t="shared" si="4"/>
        <v>592.6</v>
      </c>
      <c r="J58" s="89">
        <f>ROUND(J57*J6,2)</f>
        <v>148.15</v>
      </c>
      <c r="K58" s="89">
        <f>ROUND(K57*K6,2)</f>
        <v>474.08</v>
      </c>
      <c r="L58" s="89">
        <f>ROUND(L57*L6,2)</f>
        <v>355.56</v>
      </c>
      <c r="M58" s="90">
        <f aca="true" t="shared" si="5" ref="M58:R58">ROUND(M57*M6,2)</f>
        <v>947.24</v>
      </c>
      <c r="N58" s="89">
        <f t="shared" si="5"/>
        <v>355.56</v>
      </c>
      <c r="O58" s="89">
        <f t="shared" si="5"/>
        <v>3555.6</v>
      </c>
      <c r="P58" s="89">
        <f t="shared" si="5"/>
        <v>626.7</v>
      </c>
      <c r="Q58" s="89">
        <f t="shared" si="5"/>
        <v>334.24</v>
      </c>
      <c r="R58" s="89">
        <f t="shared" si="5"/>
        <v>1082.56</v>
      </c>
      <c r="S58" s="89">
        <f>SUM(B58:R58)</f>
        <v>17953.890000000003</v>
      </c>
    </row>
    <row r="59" spans="1:19" ht="13.5">
      <c r="A59" s="45" t="s">
        <v>140</v>
      </c>
      <c r="B59" s="91">
        <f aca="true" t="shared" si="6" ref="B59:R59">B57/B5</f>
        <v>3</v>
      </c>
      <c r="C59" s="91">
        <f t="shared" si="6"/>
        <v>4</v>
      </c>
      <c r="D59" s="91">
        <f t="shared" si="6"/>
        <v>32</v>
      </c>
      <c r="E59" s="91">
        <f t="shared" si="6"/>
        <v>8</v>
      </c>
      <c r="F59" s="91">
        <f t="shared" si="6"/>
        <v>11</v>
      </c>
      <c r="G59" s="91">
        <f t="shared" si="6"/>
        <v>2</v>
      </c>
      <c r="H59" s="91">
        <f t="shared" si="6"/>
        <v>0</v>
      </c>
      <c r="I59" s="91">
        <f t="shared" si="6"/>
        <v>5</v>
      </c>
      <c r="J59" s="91">
        <f t="shared" si="6"/>
        <v>5</v>
      </c>
      <c r="K59" s="91">
        <f t="shared" si="6"/>
        <v>4</v>
      </c>
      <c r="L59" s="91">
        <f t="shared" si="6"/>
        <v>12</v>
      </c>
      <c r="M59" s="92">
        <f t="shared" si="6"/>
        <v>7</v>
      </c>
      <c r="N59" s="91">
        <f t="shared" si="6"/>
        <v>3</v>
      </c>
      <c r="O59" s="91">
        <f t="shared" si="6"/>
        <v>20</v>
      </c>
      <c r="P59" s="91">
        <f t="shared" si="6"/>
        <v>7.5</v>
      </c>
      <c r="Q59" s="91">
        <f t="shared" si="6"/>
        <v>4</v>
      </c>
      <c r="R59" s="91">
        <f t="shared" si="6"/>
        <v>8</v>
      </c>
      <c r="S59" s="87">
        <f>SUM(B59:R59)</f>
        <v>135.5</v>
      </c>
    </row>
    <row r="60" spans="1:19" ht="13.5">
      <c r="A60" s="45" t="s">
        <v>141</v>
      </c>
      <c r="B60" s="93">
        <f aca="true" t="shared" si="7" ref="B60:H60">B57/4</f>
        <v>3</v>
      </c>
      <c r="C60" s="93">
        <f t="shared" si="7"/>
        <v>4</v>
      </c>
      <c r="D60" s="93">
        <f t="shared" si="7"/>
        <v>48</v>
      </c>
      <c r="E60" s="93">
        <f t="shared" si="7"/>
        <v>12</v>
      </c>
      <c r="F60" s="93">
        <f t="shared" si="7"/>
        <v>11</v>
      </c>
      <c r="G60" s="93">
        <f>G57/4</f>
        <v>2</v>
      </c>
      <c r="H60" s="93">
        <f t="shared" si="7"/>
        <v>0</v>
      </c>
      <c r="I60" s="93">
        <f aca="true" t="shared" si="8" ref="I60:R60">I57/4</f>
        <v>5</v>
      </c>
      <c r="J60" s="94">
        <f t="shared" si="8"/>
        <v>1.25</v>
      </c>
      <c r="K60" s="93">
        <f t="shared" si="8"/>
        <v>4</v>
      </c>
      <c r="L60" s="93">
        <f t="shared" si="8"/>
        <v>3</v>
      </c>
      <c r="M60" s="92">
        <f t="shared" si="8"/>
        <v>7</v>
      </c>
      <c r="N60" s="93">
        <f t="shared" si="8"/>
        <v>3</v>
      </c>
      <c r="O60" s="93">
        <f t="shared" si="8"/>
        <v>30</v>
      </c>
      <c r="P60" s="94">
        <f t="shared" si="8"/>
        <v>7.5</v>
      </c>
      <c r="Q60" s="93">
        <f t="shared" si="8"/>
        <v>4</v>
      </c>
      <c r="R60" s="93">
        <f t="shared" si="8"/>
        <v>8</v>
      </c>
      <c r="S60" s="87">
        <f>SUM(B60:R60)</f>
        <v>152.75</v>
      </c>
    </row>
    <row r="61" ht="13.5">
      <c r="S61" s="95">
        <f>S60/48</f>
        <v>3.1822916666666665</v>
      </c>
    </row>
    <row r="62" ht="13.5">
      <c r="S62" s="96">
        <f>S61*173</f>
        <v>550.5364583333333</v>
      </c>
    </row>
    <row r="63" ht="13.5">
      <c r="D63" s="97"/>
    </row>
    <row r="64" ht="13.5">
      <c r="D64" s="98"/>
    </row>
  </sheetData>
  <sheetProtection selectLockedCells="1" selectUnlockedCells="1"/>
  <mergeCells count="4">
    <mergeCell ref="A1:S1"/>
    <mergeCell ref="A2:S2"/>
    <mergeCell ref="S3:S6"/>
    <mergeCell ref="A23:S23"/>
  </mergeCells>
  <printOptions/>
  <pageMargins left="0.5" right="0.5" top="0.25" bottom="0.25" header="0.5118055555555555" footer="0.5118055555555555"/>
  <pageSetup fitToHeight="0" fitToWidth="1" horizontalDpi="300" verticalDpi="300" orientation="landscape" paperSize="119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view="pageBreakPreview" zoomScale="60" zoomScaleNormal="120" zoomScalePageLayoutView="0" workbookViewId="0" topLeftCell="A40">
      <selection activeCell="E49" sqref="E49"/>
    </sheetView>
  </sheetViews>
  <sheetFormatPr defaultColWidth="8.7109375" defaultRowHeight="14.25" customHeight="1"/>
  <cols>
    <col min="1" max="1" width="33.8515625" style="99" customWidth="1"/>
    <col min="2" max="2" width="14.28125" style="99" customWidth="1"/>
    <col min="3" max="3" width="11.8515625" style="99" customWidth="1"/>
    <col min="4" max="7" width="12.7109375" style="99" customWidth="1"/>
    <col min="8" max="8" width="15.8515625" style="99" customWidth="1"/>
    <col min="9" max="9" width="15.7109375" style="99" customWidth="1"/>
    <col min="10" max="10" width="6.8515625" style="99" customWidth="1"/>
    <col min="11" max="11" width="10.421875" style="99" customWidth="1"/>
    <col min="12" max="16384" width="8.7109375" style="99" customWidth="1"/>
  </cols>
  <sheetData>
    <row r="1" spans="1:9" ht="14.25" customHeight="1">
      <c r="A1" s="243" t="s">
        <v>142</v>
      </c>
      <c r="B1" s="243"/>
      <c r="C1" s="243"/>
      <c r="D1" s="243"/>
      <c r="E1" s="243"/>
      <c r="F1" s="243"/>
      <c r="G1" s="243"/>
      <c r="H1" s="243"/>
      <c r="I1" s="243"/>
    </row>
    <row r="2" spans="1:21" ht="14.25" customHeight="1">
      <c r="A2" s="45"/>
      <c r="B2" s="100"/>
      <c r="C2" s="100"/>
      <c r="D2" s="100"/>
      <c r="E2" s="100"/>
      <c r="F2" s="100"/>
      <c r="G2" s="100"/>
      <c r="H2" s="100"/>
      <c r="I2" s="101"/>
      <c r="J2" s="102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ht="14.25" customHeight="1">
      <c r="A3" s="103" t="s">
        <v>143</v>
      </c>
      <c r="B3" s="104"/>
      <c r="C3" s="100"/>
      <c r="D3" s="100"/>
      <c r="E3" s="100"/>
      <c r="F3" s="100"/>
      <c r="G3" s="100"/>
      <c r="H3" s="100"/>
      <c r="I3" s="102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1:21" ht="14.25" customHeight="1">
      <c r="A4" s="105" t="s">
        <v>144</v>
      </c>
      <c r="B4" s="106">
        <v>48</v>
      </c>
      <c r="C4" s="100"/>
      <c r="D4" s="107"/>
      <c r="E4" s="100"/>
      <c r="F4" s="100"/>
      <c r="G4" s="100"/>
      <c r="H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1" ht="14.25" customHeight="1">
      <c r="A5" s="108" t="s">
        <v>145</v>
      </c>
      <c r="B5" s="109">
        <f>'Program Budget'!B16</f>
        <v>7</v>
      </c>
      <c r="C5" s="100"/>
      <c r="D5" s="110"/>
      <c r="E5" s="110"/>
      <c r="F5" s="110"/>
      <c r="G5" s="110"/>
      <c r="H5" s="110"/>
      <c r="I5" s="102"/>
      <c r="J5" s="100"/>
      <c r="M5" s="100"/>
      <c r="N5" s="100"/>
      <c r="O5" s="100"/>
      <c r="P5" s="100"/>
      <c r="Q5" s="100"/>
      <c r="R5" s="100"/>
      <c r="S5" s="100"/>
      <c r="T5" s="100"/>
      <c r="U5" s="100"/>
    </row>
    <row r="6" spans="1:21" ht="14.25" customHeight="1">
      <c r="A6" s="105" t="s">
        <v>146</v>
      </c>
      <c r="B6" s="106">
        <v>15</v>
      </c>
      <c r="C6" s="100"/>
      <c r="D6" s="111"/>
      <c r="E6" s="100"/>
      <c r="F6" s="100"/>
      <c r="G6" s="100"/>
      <c r="H6" s="100"/>
      <c r="I6" s="102"/>
      <c r="J6" s="100" t="s">
        <v>147</v>
      </c>
      <c r="M6" s="100"/>
      <c r="N6" s="100"/>
      <c r="O6" s="100"/>
      <c r="P6" s="100"/>
      <c r="Q6" s="100"/>
      <c r="R6" s="100"/>
      <c r="S6" s="100"/>
      <c r="T6" s="100"/>
      <c r="U6" s="100"/>
    </row>
    <row r="7" spans="1:21" ht="14.25" customHeight="1">
      <c r="A7" s="105" t="s">
        <v>148</v>
      </c>
      <c r="B7" s="112">
        <v>1</v>
      </c>
      <c r="C7" s="100"/>
      <c r="D7" s="111"/>
      <c r="E7" s="100"/>
      <c r="F7" s="100"/>
      <c r="G7" s="100"/>
      <c r="H7" s="100"/>
      <c r="I7" s="102"/>
      <c r="J7" s="100"/>
      <c r="M7" s="100"/>
      <c r="N7" s="100"/>
      <c r="O7" s="100"/>
      <c r="P7" s="100"/>
      <c r="Q7" s="100"/>
      <c r="R7" s="100"/>
      <c r="S7" s="100"/>
      <c r="T7" s="100"/>
      <c r="U7" s="100"/>
    </row>
    <row r="8" spans="1:21" ht="14.25" customHeight="1">
      <c r="A8" s="105" t="s">
        <v>149</v>
      </c>
      <c r="B8" s="113">
        <v>1.5</v>
      </c>
      <c r="C8" s="100"/>
      <c r="D8" s="100"/>
      <c r="E8" s="100"/>
      <c r="F8" s="100"/>
      <c r="G8" s="114"/>
      <c r="H8" s="100"/>
      <c r="I8" s="102"/>
      <c r="J8" s="100"/>
      <c r="M8" s="100"/>
      <c r="N8" s="100"/>
      <c r="O8" s="100"/>
      <c r="P8" s="100"/>
      <c r="Q8" s="100"/>
      <c r="R8" s="100"/>
      <c r="S8" s="100"/>
      <c r="T8" s="100"/>
      <c r="U8" s="100"/>
    </row>
    <row r="9" spans="1:21" ht="14.25" customHeight="1">
      <c r="A9" s="105" t="s">
        <v>150</v>
      </c>
      <c r="B9" s="112">
        <v>7</v>
      </c>
      <c r="C9" s="100"/>
      <c r="D9" s="115"/>
      <c r="E9" s="115"/>
      <c r="F9" s="100"/>
      <c r="G9" s="100"/>
      <c r="H9" s="100"/>
      <c r="I9" s="102"/>
      <c r="J9" s="100"/>
      <c r="M9" s="100"/>
      <c r="N9" s="100"/>
      <c r="O9" s="100"/>
      <c r="P9" s="100"/>
      <c r="Q9" s="100"/>
      <c r="R9" s="100"/>
      <c r="S9" s="100"/>
      <c r="T9" s="100"/>
      <c r="U9" s="100"/>
    </row>
    <row r="10" spans="1:21" ht="14.25" customHeight="1">
      <c r="A10" s="116" t="s">
        <v>151</v>
      </c>
      <c r="B10" s="117">
        <f>B5*B6</f>
        <v>105</v>
      </c>
      <c r="C10" s="100"/>
      <c r="D10" s="102">
        <f>B10*D36</f>
        <v>16038.75</v>
      </c>
      <c r="E10" s="100"/>
      <c r="F10" s="100"/>
      <c r="G10" s="100"/>
      <c r="H10" s="100"/>
      <c r="I10" s="102"/>
      <c r="J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ht="14.25" customHeight="1">
      <c r="A11" s="116" t="s">
        <v>152</v>
      </c>
      <c r="B11" s="117">
        <f>(52/B4)*B10</f>
        <v>113.74999999999999</v>
      </c>
      <c r="C11" s="100"/>
      <c r="D11" s="100"/>
      <c r="E11" s="100"/>
      <c r="F11" s="100"/>
      <c r="G11" s="100"/>
      <c r="H11" s="100"/>
      <c r="I11" s="102"/>
      <c r="J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1:21" ht="14.25" customHeight="1">
      <c r="A12" s="118" t="s">
        <v>153</v>
      </c>
      <c r="B12" s="119">
        <v>52</v>
      </c>
      <c r="C12" s="100"/>
      <c r="D12" s="100"/>
      <c r="E12" s="100"/>
      <c r="F12" s="100"/>
      <c r="G12" s="100"/>
      <c r="H12" s="100"/>
      <c r="I12" s="100"/>
      <c r="J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4:21" ht="14.25" customHeight="1">
      <c r="D13" s="100"/>
      <c r="E13" s="100"/>
      <c r="F13" s="100"/>
      <c r="G13" s="100"/>
      <c r="H13" s="100"/>
      <c r="I13" s="100"/>
      <c r="J13" s="100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9" ht="14.25" customHeight="1">
      <c r="A14" s="244"/>
      <c r="B14" s="244"/>
      <c r="C14" s="244"/>
      <c r="D14" s="244"/>
      <c r="E14" s="244"/>
      <c r="F14" s="244"/>
      <c r="G14" s="244"/>
      <c r="H14" s="244"/>
      <c r="I14" s="244"/>
    </row>
    <row r="15" ht="14.25" customHeight="1">
      <c r="A15" s="120" t="s">
        <v>154</v>
      </c>
    </row>
    <row r="16" spans="1:9" ht="14.25" customHeight="1">
      <c r="A16" s="121" t="s">
        <v>155</v>
      </c>
      <c r="B16" s="122" t="s">
        <v>156</v>
      </c>
      <c r="C16" s="122" t="s">
        <v>157</v>
      </c>
      <c r="D16" s="122" t="s">
        <v>158</v>
      </c>
      <c r="E16" s="123" t="s">
        <v>159</v>
      </c>
      <c r="F16" s="123" t="s">
        <v>160</v>
      </c>
      <c r="G16" s="123" t="s">
        <v>161</v>
      </c>
      <c r="H16" s="123" t="s">
        <v>162</v>
      </c>
      <c r="I16" s="124" t="s">
        <v>163</v>
      </c>
    </row>
    <row r="17" spans="1:9" s="130" customFormat="1" ht="37.5" customHeight="1">
      <c r="A17" s="125" t="s">
        <v>164</v>
      </c>
      <c r="B17" s="126" t="s">
        <v>165</v>
      </c>
      <c r="C17" s="126" t="s">
        <v>166</v>
      </c>
      <c r="D17" s="127" t="s">
        <v>167</v>
      </c>
      <c r="E17" s="128" t="s">
        <v>168</v>
      </c>
      <c r="F17" s="128" t="s">
        <v>169</v>
      </c>
      <c r="G17" s="128" t="s">
        <v>170</v>
      </c>
      <c r="H17" s="128" t="s">
        <v>171</v>
      </c>
      <c r="I17" s="129" t="s">
        <v>172</v>
      </c>
    </row>
    <row r="18" spans="1:21" s="111" customFormat="1" ht="14.25" customHeight="1">
      <c r="A18" s="131" t="s">
        <v>55</v>
      </c>
      <c r="B18" s="132">
        <f>'Service Model'!B57</f>
        <v>12</v>
      </c>
      <c r="C18" s="132">
        <f>'Service Model'!B59</f>
        <v>3</v>
      </c>
      <c r="D18" s="132">
        <f>'Service Model'!B60</f>
        <v>3</v>
      </c>
      <c r="E18" s="133">
        <f aca="true" t="shared" si="0" ref="E18:G22">B18*$B$11</f>
        <v>1364.9999999999998</v>
      </c>
      <c r="F18" s="133">
        <f t="shared" si="0"/>
        <v>341.24999999999994</v>
      </c>
      <c r="G18" s="133">
        <f t="shared" si="0"/>
        <v>341.24999999999994</v>
      </c>
      <c r="H18" s="134">
        <f>'Service Model'!B58</f>
        <v>355.56</v>
      </c>
      <c r="I18" s="135">
        <f aca="true" t="shared" si="1" ref="I18:I29">H18*$B$11</f>
        <v>40444.95</v>
      </c>
      <c r="J18" s="136"/>
      <c r="K18" s="102"/>
      <c r="L18" s="100"/>
      <c r="M18" s="100"/>
      <c r="N18" s="100"/>
      <c r="O18" s="100"/>
      <c r="P18" s="100"/>
      <c r="Q18" s="100"/>
      <c r="R18" s="100"/>
      <c r="S18" s="100"/>
      <c r="T18" s="100"/>
      <c r="U18" s="100"/>
    </row>
    <row r="19" spans="1:21" ht="14.25" customHeight="1">
      <c r="A19" s="131" t="s">
        <v>56</v>
      </c>
      <c r="B19" s="132">
        <f>'Service Model'!C57</f>
        <v>16</v>
      </c>
      <c r="C19" s="132">
        <f>'Service Model'!C59</f>
        <v>4</v>
      </c>
      <c r="D19" s="132">
        <f>'Service Model'!C60</f>
        <v>4</v>
      </c>
      <c r="E19" s="133">
        <f t="shared" si="0"/>
        <v>1819.9999999999998</v>
      </c>
      <c r="F19" s="133">
        <f t="shared" si="0"/>
        <v>454.99999999999994</v>
      </c>
      <c r="G19" s="133">
        <f t="shared" si="0"/>
        <v>454.99999999999994</v>
      </c>
      <c r="H19" s="134">
        <f>'Service Model'!C58</f>
        <v>474.08</v>
      </c>
      <c r="I19" s="135">
        <f t="shared" si="1"/>
        <v>53926.59999999999</v>
      </c>
      <c r="J19" s="136"/>
      <c r="K19" s="102"/>
      <c r="L19" s="100"/>
      <c r="M19" s="100"/>
      <c r="N19" s="100"/>
      <c r="O19" s="100"/>
      <c r="P19" s="100"/>
      <c r="Q19" s="100"/>
      <c r="R19" s="100"/>
      <c r="S19" s="100"/>
      <c r="T19" s="100"/>
      <c r="U19" s="100"/>
    </row>
    <row r="20" spans="1:21" ht="14.25" customHeight="1">
      <c r="A20" s="131" t="s">
        <v>57</v>
      </c>
      <c r="B20" s="132">
        <f>'Service Model'!D57</f>
        <v>192</v>
      </c>
      <c r="C20" s="132">
        <f>'Service Model'!D59</f>
        <v>32</v>
      </c>
      <c r="D20" s="137">
        <f>'Service Model'!D60</f>
        <v>48</v>
      </c>
      <c r="E20" s="133">
        <f t="shared" si="0"/>
        <v>21839.999999999996</v>
      </c>
      <c r="F20" s="133">
        <f t="shared" si="0"/>
        <v>3639.9999999999995</v>
      </c>
      <c r="G20" s="133">
        <f t="shared" si="0"/>
        <v>5459.999999999999</v>
      </c>
      <c r="H20" s="134">
        <f>'Service Model'!D58</f>
        <v>5688.96</v>
      </c>
      <c r="I20" s="135">
        <f t="shared" si="1"/>
        <v>647119.2</v>
      </c>
      <c r="J20" s="136"/>
      <c r="K20" s="102"/>
      <c r="L20" s="100"/>
      <c r="M20" s="100"/>
      <c r="N20" s="100"/>
      <c r="O20" s="100"/>
      <c r="P20" s="100"/>
      <c r="Q20" s="100"/>
      <c r="R20" s="100"/>
      <c r="S20" s="100"/>
      <c r="T20" s="100"/>
      <c r="U20" s="100"/>
    </row>
    <row r="21" spans="1:21" ht="14.25" customHeight="1">
      <c r="A21" s="131" t="s">
        <v>58</v>
      </c>
      <c r="B21" s="132">
        <f>'Service Model'!E57</f>
        <v>48</v>
      </c>
      <c r="C21" s="132">
        <f>'Service Model'!E59</f>
        <v>8</v>
      </c>
      <c r="D21" s="132">
        <f>'Service Model'!E60</f>
        <v>12</v>
      </c>
      <c r="E21" s="133">
        <f t="shared" si="0"/>
        <v>5459.999999999999</v>
      </c>
      <c r="F21" s="133">
        <f t="shared" si="0"/>
        <v>909.9999999999999</v>
      </c>
      <c r="G21" s="133">
        <f t="shared" si="0"/>
        <v>1364.9999999999998</v>
      </c>
      <c r="H21" s="134">
        <f>'Service Model'!E58</f>
        <v>1422.24</v>
      </c>
      <c r="I21" s="135">
        <f t="shared" si="1"/>
        <v>161779.8</v>
      </c>
      <c r="J21" s="136"/>
      <c r="K21" s="102"/>
      <c r="L21" s="100"/>
      <c r="M21" s="100"/>
      <c r="N21" s="100"/>
      <c r="O21" s="100"/>
      <c r="P21" s="100"/>
      <c r="Q21" s="100"/>
      <c r="R21" s="100"/>
      <c r="S21" s="100"/>
      <c r="T21" s="100"/>
      <c r="U21" s="100"/>
    </row>
    <row r="22" spans="1:21" ht="14.25" customHeight="1">
      <c r="A22" s="131" t="s">
        <v>59</v>
      </c>
      <c r="B22" s="132">
        <f>'Service Model'!F57</f>
        <v>44</v>
      </c>
      <c r="C22" s="137">
        <f>'Service Model'!F59</f>
        <v>11</v>
      </c>
      <c r="D22" s="132">
        <f>'Service Model'!F60</f>
        <v>11</v>
      </c>
      <c r="E22" s="133">
        <f t="shared" si="0"/>
        <v>5004.999999999999</v>
      </c>
      <c r="F22" s="133">
        <f t="shared" si="0"/>
        <v>1251.2499999999998</v>
      </c>
      <c r="G22" s="133">
        <f t="shared" si="0"/>
        <v>1251.2499999999998</v>
      </c>
      <c r="H22" s="134">
        <f>'Service Model'!F58</f>
        <v>1303.72</v>
      </c>
      <c r="I22" s="135">
        <f t="shared" si="1"/>
        <v>148298.15</v>
      </c>
      <c r="J22" s="136"/>
      <c r="K22" s="102"/>
      <c r="L22" s="100"/>
      <c r="M22" s="100"/>
      <c r="N22" s="100"/>
      <c r="O22" s="100"/>
      <c r="P22" s="100"/>
      <c r="Q22" s="100"/>
      <c r="R22" s="100"/>
      <c r="S22" s="100"/>
      <c r="T22" s="100"/>
      <c r="U22" s="100"/>
    </row>
    <row r="23" spans="1:21" ht="14.25" customHeight="1">
      <c r="A23" s="131" t="s">
        <v>60</v>
      </c>
      <c r="B23" s="132">
        <f>'Service Model'!G57</f>
        <v>8</v>
      </c>
      <c r="C23" s="132">
        <f>'Service Model'!G59</f>
        <v>2</v>
      </c>
      <c r="D23" s="132">
        <f>'Service Model'!G60</f>
        <v>2</v>
      </c>
      <c r="E23" s="133">
        <f aca="true" t="shared" si="2" ref="E23:E29">B23*$B$11</f>
        <v>909.9999999999999</v>
      </c>
      <c r="F23" s="133">
        <f>(C23*$B$11)/B9</f>
        <v>32.49999999999999</v>
      </c>
      <c r="G23" s="133">
        <f>F23*$B$8</f>
        <v>48.749999999999986</v>
      </c>
      <c r="H23" s="134">
        <f>'Service Model'!G58</f>
        <v>237.04</v>
      </c>
      <c r="I23" s="135">
        <f t="shared" si="1"/>
        <v>26963.299999999996</v>
      </c>
      <c r="J23" s="136"/>
      <c r="K23" s="102"/>
      <c r="L23" s="100"/>
      <c r="M23" s="100"/>
      <c r="N23" s="100"/>
      <c r="O23" s="100"/>
      <c r="P23" s="100"/>
      <c r="Q23" s="100"/>
      <c r="R23" s="100"/>
      <c r="S23" s="100"/>
      <c r="T23" s="100"/>
      <c r="U23" s="100"/>
    </row>
    <row r="24" spans="1:21" ht="14.25" customHeight="1">
      <c r="A24" s="131" t="s">
        <v>61</v>
      </c>
      <c r="B24" s="132">
        <f>'Service Model'!H57</f>
        <v>0</v>
      </c>
      <c r="C24" s="132">
        <f>'Service Model'!H59</f>
        <v>0</v>
      </c>
      <c r="D24" s="132">
        <f>'Service Model'!H60</f>
        <v>0</v>
      </c>
      <c r="E24" s="133">
        <f t="shared" si="2"/>
        <v>0</v>
      </c>
      <c r="F24" s="133">
        <f aca="true" t="shared" si="3" ref="F24:G26">C24*$B$11</f>
        <v>0</v>
      </c>
      <c r="G24" s="133">
        <f t="shared" si="3"/>
        <v>0</v>
      </c>
      <c r="H24" s="134">
        <f>'Service Model'!H58</f>
        <v>0</v>
      </c>
      <c r="I24" s="135">
        <f t="shared" si="1"/>
        <v>0</v>
      </c>
      <c r="J24" s="136"/>
      <c r="K24" s="102"/>
      <c r="L24" s="100"/>
      <c r="M24" s="100"/>
      <c r="N24" s="100"/>
      <c r="O24" s="100"/>
      <c r="P24" s="100"/>
      <c r="Q24" s="100"/>
      <c r="R24" s="100"/>
      <c r="S24" s="100"/>
      <c r="T24" s="100"/>
      <c r="U24" s="100"/>
    </row>
    <row r="25" spans="1:21" ht="14.25" customHeight="1">
      <c r="A25" s="131" t="s">
        <v>62</v>
      </c>
      <c r="B25" s="132">
        <f>'Service Model'!I57</f>
        <v>20</v>
      </c>
      <c r="C25" s="132">
        <f>'Service Model'!I59</f>
        <v>5</v>
      </c>
      <c r="D25" s="132">
        <f>'Service Model'!I60</f>
        <v>5</v>
      </c>
      <c r="E25" s="133">
        <f t="shared" si="2"/>
        <v>2274.9999999999995</v>
      </c>
      <c r="F25" s="133">
        <f t="shared" si="3"/>
        <v>568.7499999999999</v>
      </c>
      <c r="G25" s="133">
        <f t="shared" si="3"/>
        <v>568.7499999999999</v>
      </c>
      <c r="H25" s="134">
        <f>'Service Model'!I58</f>
        <v>592.6</v>
      </c>
      <c r="I25" s="135">
        <f t="shared" si="1"/>
        <v>67408.25</v>
      </c>
      <c r="J25" s="136"/>
      <c r="K25" s="102"/>
      <c r="L25" s="100"/>
      <c r="M25" s="100"/>
      <c r="N25" s="100"/>
      <c r="O25" s="100"/>
      <c r="P25" s="100"/>
      <c r="Q25" s="100"/>
      <c r="R25" s="100"/>
      <c r="S25" s="100"/>
      <c r="T25" s="100"/>
      <c r="U25" s="100"/>
    </row>
    <row r="26" spans="1:21" ht="14.25" customHeight="1">
      <c r="A26" s="131" t="s">
        <v>63</v>
      </c>
      <c r="B26" s="132">
        <f>'Service Model'!J57</f>
        <v>5</v>
      </c>
      <c r="C26" s="132">
        <f>'Service Model'!J59</f>
        <v>5</v>
      </c>
      <c r="D26" s="137">
        <f>'Service Model'!J60</f>
        <v>1.25</v>
      </c>
      <c r="E26" s="133">
        <f t="shared" si="2"/>
        <v>568.7499999999999</v>
      </c>
      <c r="F26" s="133">
        <f t="shared" si="3"/>
        <v>568.7499999999999</v>
      </c>
      <c r="G26" s="133">
        <f t="shared" si="3"/>
        <v>142.18749999999997</v>
      </c>
      <c r="H26" s="134">
        <f>'Service Model'!J58</f>
        <v>148.15</v>
      </c>
      <c r="I26" s="135">
        <f t="shared" si="1"/>
        <v>16852.0625</v>
      </c>
      <c r="J26" s="136"/>
      <c r="K26" s="102"/>
      <c r="L26" s="100"/>
      <c r="M26" s="100"/>
      <c r="N26" s="100"/>
      <c r="O26" s="100"/>
      <c r="P26" s="100"/>
      <c r="Q26" s="100"/>
      <c r="R26" s="100"/>
      <c r="S26" s="100"/>
      <c r="T26" s="100"/>
      <c r="U26" s="100"/>
    </row>
    <row r="27" spans="1:21" ht="14.25" customHeight="1">
      <c r="A27" s="131" t="s">
        <v>64</v>
      </c>
      <c r="B27" s="132">
        <f>'Service Model'!K57</f>
        <v>16</v>
      </c>
      <c r="C27" s="138">
        <f>'Service Model'!K59</f>
        <v>4</v>
      </c>
      <c r="D27" s="132">
        <f>'Service Model'!K60</f>
        <v>4</v>
      </c>
      <c r="E27" s="133">
        <f t="shared" si="2"/>
        <v>1819.9999999999998</v>
      </c>
      <c r="F27" s="133">
        <f>(C27*$B$11)/B9</f>
        <v>64.99999999999999</v>
      </c>
      <c r="G27" s="133">
        <f>F27*$B$8</f>
        <v>97.49999999999997</v>
      </c>
      <c r="H27" s="134">
        <f>'Service Model'!K58</f>
        <v>474.08</v>
      </c>
      <c r="I27" s="135">
        <f t="shared" si="1"/>
        <v>53926.59999999999</v>
      </c>
      <c r="J27" s="136"/>
      <c r="K27" s="102"/>
      <c r="L27" s="100"/>
      <c r="M27" s="100"/>
      <c r="N27" s="100"/>
      <c r="O27" s="100"/>
      <c r="P27" s="100"/>
      <c r="Q27" s="100"/>
      <c r="R27" s="100"/>
      <c r="S27" s="100"/>
      <c r="T27" s="100"/>
      <c r="U27" s="100"/>
    </row>
    <row r="28" spans="1:21" ht="14.25" customHeight="1">
      <c r="A28" s="131" t="s">
        <v>65</v>
      </c>
      <c r="B28" s="132">
        <f>'Service Model'!L57</f>
        <v>12</v>
      </c>
      <c r="C28" s="132">
        <f>'Service Model'!L59</f>
        <v>12</v>
      </c>
      <c r="D28" s="132">
        <f>'Service Model'!L60</f>
        <v>3</v>
      </c>
      <c r="E28" s="133">
        <f t="shared" si="2"/>
        <v>1364.9999999999998</v>
      </c>
      <c r="F28" s="133">
        <f aca="true" t="shared" si="4" ref="F28:G34">C28*$B$11</f>
        <v>1364.9999999999998</v>
      </c>
      <c r="G28" s="133">
        <f t="shared" si="4"/>
        <v>341.24999999999994</v>
      </c>
      <c r="H28" s="134">
        <f>'Service Model'!L58</f>
        <v>355.56</v>
      </c>
      <c r="I28" s="135">
        <f t="shared" si="1"/>
        <v>40444.95</v>
      </c>
      <c r="J28" s="136"/>
      <c r="K28" s="102"/>
      <c r="L28" s="100"/>
      <c r="M28" s="100"/>
      <c r="N28" s="100"/>
      <c r="O28" s="100"/>
      <c r="P28" s="100"/>
      <c r="Q28" s="100"/>
      <c r="R28" s="100"/>
      <c r="S28" s="100"/>
      <c r="T28" s="100"/>
      <c r="U28" s="100"/>
    </row>
    <row r="29" spans="1:21" ht="14.25" customHeight="1">
      <c r="A29" s="139" t="s">
        <v>66</v>
      </c>
      <c r="B29" s="140">
        <f>'Service Model'!M57</f>
        <v>28</v>
      </c>
      <c r="C29" s="140">
        <f>'Service Model'!M59</f>
        <v>7</v>
      </c>
      <c r="D29" s="140">
        <f>'Service Model'!M60</f>
        <v>7</v>
      </c>
      <c r="E29" s="141">
        <f t="shared" si="2"/>
        <v>3184.9999999999995</v>
      </c>
      <c r="F29" s="141">
        <f t="shared" si="4"/>
        <v>796.2499999999999</v>
      </c>
      <c r="G29" s="141">
        <f t="shared" si="4"/>
        <v>796.2499999999999</v>
      </c>
      <c r="H29" s="142">
        <f>'Service Model'!M58</f>
        <v>947.24</v>
      </c>
      <c r="I29" s="143">
        <f t="shared" si="1"/>
        <v>107748.54999999999</v>
      </c>
      <c r="J29" s="136"/>
      <c r="K29" s="102"/>
      <c r="L29" s="100"/>
      <c r="M29" s="100"/>
      <c r="N29" s="100"/>
      <c r="O29" s="100"/>
      <c r="P29" s="100"/>
      <c r="Q29" s="100"/>
      <c r="R29" s="100"/>
      <c r="S29" s="100"/>
      <c r="T29" s="100"/>
      <c r="U29" s="100"/>
    </row>
    <row r="30" spans="1:21" ht="14.25" customHeight="1">
      <c r="A30" s="144" t="s">
        <v>173</v>
      </c>
      <c r="B30" s="145">
        <f>'Service Model'!N57</f>
        <v>12</v>
      </c>
      <c r="C30" s="145">
        <f>'Service Model'!N59</f>
        <v>3</v>
      </c>
      <c r="D30" s="145">
        <f>'Service Model'!N60</f>
        <v>3</v>
      </c>
      <c r="E30" s="146">
        <f>B30*$B$11</f>
        <v>1364.9999999999998</v>
      </c>
      <c r="F30" s="146">
        <f t="shared" si="4"/>
        <v>341.24999999999994</v>
      </c>
      <c r="G30" s="146">
        <f t="shared" si="4"/>
        <v>341.24999999999994</v>
      </c>
      <c r="H30" s="147">
        <f>'Service Model'!N58</f>
        <v>355.56</v>
      </c>
      <c r="I30" s="148">
        <f>H30*$B$11</f>
        <v>40444.95</v>
      </c>
      <c r="J30" s="136"/>
      <c r="K30" s="102"/>
      <c r="L30" s="100"/>
      <c r="M30" s="100"/>
      <c r="N30" s="100"/>
      <c r="O30" s="100"/>
      <c r="P30" s="100"/>
      <c r="Q30" s="100"/>
      <c r="R30" s="100"/>
      <c r="S30" s="100"/>
      <c r="T30" s="100"/>
      <c r="U30" s="100"/>
    </row>
    <row r="31" spans="1:21" ht="14.25" customHeight="1">
      <c r="A31" s="131" t="s">
        <v>68</v>
      </c>
      <c r="B31" s="132">
        <f>'Service Model'!O57</f>
        <v>120</v>
      </c>
      <c r="C31" s="132">
        <f>'Service Model'!O59</f>
        <v>20</v>
      </c>
      <c r="D31" s="132">
        <f>'Service Model'!O60</f>
        <v>30</v>
      </c>
      <c r="E31" s="133">
        <f>B31*$B$11</f>
        <v>13649.999999999998</v>
      </c>
      <c r="F31" s="133">
        <f t="shared" si="4"/>
        <v>2274.9999999999995</v>
      </c>
      <c r="G31" s="133">
        <f t="shared" si="4"/>
        <v>3412.4999999999995</v>
      </c>
      <c r="H31" s="134">
        <f>'Service Model'!O58</f>
        <v>3555.6</v>
      </c>
      <c r="I31" s="135">
        <f>H31*$B$11</f>
        <v>404449.49999999994</v>
      </c>
      <c r="J31" s="136"/>
      <c r="K31" s="102"/>
      <c r="L31" s="100"/>
      <c r="M31" s="100"/>
      <c r="N31" s="100"/>
      <c r="O31" s="100"/>
      <c r="P31" s="100"/>
      <c r="Q31" s="100"/>
      <c r="R31" s="100"/>
      <c r="S31" s="100"/>
      <c r="T31" s="100"/>
      <c r="U31" s="100"/>
    </row>
    <row r="32" spans="1:21" ht="14.25" customHeight="1">
      <c r="A32" s="131" t="s">
        <v>69</v>
      </c>
      <c r="B32" s="132">
        <f>'Service Model'!P57</f>
        <v>30</v>
      </c>
      <c r="C32" s="137">
        <f>'Service Model'!P59</f>
        <v>7.5</v>
      </c>
      <c r="D32" s="137">
        <f>'Service Model'!P60</f>
        <v>7.5</v>
      </c>
      <c r="E32" s="133">
        <f>B32*$B$11</f>
        <v>3412.4999999999995</v>
      </c>
      <c r="F32" s="133">
        <f t="shared" si="4"/>
        <v>853.1249999999999</v>
      </c>
      <c r="G32" s="133">
        <f t="shared" si="4"/>
        <v>853.1249999999999</v>
      </c>
      <c r="H32" s="134">
        <f>'Service Model'!P58</f>
        <v>626.7</v>
      </c>
      <c r="I32" s="135">
        <f>H32*$B$11</f>
        <v>71287.125</v>
      </c>
      <c r="J32" s="136"/>
      <c r="K32" s="102"/>
      <c r="L32" s="100"/>
      <c r="M32" s="100"/>
      <c r="N32" s="100"/>
      <c r="O32" s="100"/>
      <c r="P32" s="100"/>
      <c r="Q32" s="100"/>
      <c r="R32" s="100"/>
      <c r="S32" s="100"/>
      <c r="T32" s="100"/>
      <c r="U32" s="100"/>
    </row>
    <row r="33" spans="1:21" ht="14.25" customHeight="1">
      <c r="A33" s="131" t="s">
        <v>70</v>
      </c>
      <c r="B33" s="132">
        <f>'Service Model'!Q57</f>
        <v>16</v>
      </c>
      <c r="C33" s="132">
        <f>'Service Model'!Q59</f>
        <v>4</v>
      </c>
      <c r="D33" s="132">
        <f>'Service Model'!Q60</f>
        <v>4</v>
      </c>
      <c r="E33" s="133">
        <f>B33*$B$11</f>
        <v>1819.9999999999998</v>
      </c>
      <c r="F33" s="133">
        <f t="shared" si="4"/>
        <v>454.99999999999994</v>
      </c>
      <c r="G33" s="133">
        <f t="shared" si="4"/>
        <v>454.99999999999994</v>
      </c>
      <c r="H33" s="134">
        <f>'Service Model'!Q58</f>
        <v>334.24</v>
      </c>
      <c r="I33" s="135">
        <f>H33*$B$11</f>
        <v>38019.799999999996</v>
      </c>
      <c r="J33" s="136"/>
      <c r="K33" s="102"/>
      <c r="L33" s="100"/>
      <c r="M33" s="100"/>
      <c r="N33" s="100"/>
      <c r="O33" s="100"/>
      <c r="P33" s="100"/>
      <c r="Q33" s="100"/>
      <c r="R33" s="100"/>
      <c r="S33" s="100"/>
      <c r="T33" s="100"/>
      <c r="U33" s="100"/>
    </row>
    <row r="34" spans="1:21" ht="14.25" customHeight="1">
      <c r="A34" s="131" t="s">
        <v>71</v>
      </c>
      <c r="B34" s="132">
        <f>'Service Model'!R57</f>
        <v>32</v>
      </c>
      <c r="C34" s="132">
        <f>'Service Model'!R59</f>
        <v>8</v>
      </c>
      <c r="D34" s="132">
        <f>'Service Model'!R60</f>
        <v>8</v>
      </c>
      <c r="E34" s="133">
        <f>B34*$B$11</f>
        <v>3639.9999999999995</v>
      </c>
      <c r="F34" s="133">
        <f t="shared" si="4"/>
        <v>909.9999999999999</v>
      </c>
      <c r="G34" s="133">
        <f t="shared" si="4"/>
        <v>909.9999999999999</v>
      </c>
      <c r="H34" s="134">
        <f>'Service Model'!R58</f>
        <v>1082.56</v>
      </c>
      <c r="I34" s="135">
        <f>H34*$B$11</f>
        <v>123141.19999999998</v>
      </c>
      <c r="J34" s="136"/>
      <c r="K34" s="102"/>
      <c r="L34" s="100"/>
      <c r="M34" s="100"/>
      <c r="N34" s="100"/>
      <c r="O34" s="100"/>
      <c r="P34" s="100"/>
      <c r="Q34" s="100"/>
      <c r="R34" s="100"/>
      <c r="S34" s="100"/>
      <c r="T34" s="100"/>
      <c r="U34" s="100"/>
    </row>
    <row r="35" spans="1:21" ht="14.25" customHeight="1">
      <c r="A35" s="149"/>
      <c r="B35" s="150"/>
      <c r="C35" s="150"/>
      <c r="D35" s="151"/>
      <c r="E35" s="151"/>
      <c r="F35" s="151"/>
      <c r="G35" s="151"/>
      <c r="H35" s="151"/>
      <c r="I35" s="152"/>
      <c r="J35" s="136"/>
      <c r="K35" s="102"/>
      <c r="L35" s="100"/>
      <c r="M35" s="100"/>
      <c r="N35" s="100"/>
      <c r="O35" s="100"/>
      <c r="P35" s="100"/>
      <c r="Q35" s="100"/>
      <c r="R35" s="100"/>
      <c r="S35" s="100"/>
      <c r="T35" s="100"/>
      <c r="U35" s="100"/>
    </row>
    <row r="36" spans="1:21" ht="14.25" customHeight="1">
      <c r="A36" s="153" t="s">
        <v>174</v>
      </c>
      <c r="B36" s="154">
        <f aca="true" t="shared" si="5" ref="B36:G36">SUM(B18:B35)</f>
        <v>611</v>
      </c>
      <c r="C36" s="154">
        <f t="shared" si="5"/>
        <v>135.5</v>
      </c>
      <c r="D36" s="154">
        <f t="shared" si="5"/>
        <v>152.75</v>
      </c>
      <c r="E36" s="154">
        <f t="shared" si="5"/>
        <v>69501.24999999999</v>
      </c>
      <c r="F36" s="154">
        <f t="shared" si="5"/>
        <v>14828.124999999998</v>
      </c>
      <c r="G36" s="154">
        <f t="shared" si="5"/>
        <v>16839.062499999996</v>
      </c>
      <c r="H36" s="155">
        <f>SUM(H18:H34)</f>
        <v>17953.890000000003</v>
      </c>
      <c r="I36" s="156">
        <f>SUM(I18:I35)</f>
        <v>2042254.9875</v>
      </c>
      <c r="J36" s="157"/>
      <c r="K36" s="102"/>
      <c r="L36" s="100"/>
      <c r="M36" s="100"/>
      <c r="N36" s="100"/>
      <c r="O36" s="100"/>
      <c r="P36" s="100"/>
      <c r="Q36" s="100"/>
      <c r="R36" s="100"/>
      <c r="S36" s="100"/>
      <c r="T36" s="100"/>
      <c r="U36" s="100"/>
    </row>
    <row r="37" spans="1:21" ht="14.25" customHeight="1">
      <c r="A37" s="158"/>
      <c r="B37" s="159"/>
      <c r="C37" s="159"/>
      <c r="D37" s="160"/>
      <c r="E37" s="160"/>
      <c r="F37" s="160"/>
      <c r="G37" s="160"/>
      <c r="H37" s="160"/>
      <c r="I37" s="161"/>
      <c r="K37" s="102"/>
      <c r="L37" s="100"/>
      <c r="M37" s="100"/>
      <c r="N37" s="100"/>
      <c r="O37" s="100"/>
      <c r="P37" s="100"/>
      <c r="Q37" s="100"/>
      <c r="R37" s="100"/>
      <c r="S37" s="100"/>
      <c r="T37" s="100"/>
      <c r="U37" s="100"/>
    </row>
    <row r="38" spans="1:21" ht="14.25" customHeight="1">
      <c r="A38" s="158" t="s">
        <v>175</v>
      </c>
      <c r="B38" s="159"/>
      <c r="C38" s="159"/>
      <c r="D38" s="160"/>
      <c r="E38" s="160"/>
      <c r="F38" s="160"/>
      <c r="G38" s="160"/>
      <c r="H38" s="160"/>
      <c r="J38" s="162"/>
      <c r="K38" s="102"/>
      <c r="L38" s="100"/>
      <c r="M38" s="100"/>
      <c r="N38" s="100"/>
      <c r="O38" s="100"/>
      <c r="P38" s="100"/>
      <c r="Q38" s="100"/>
      <c r="R38" s="100"/>
      <c r="S38" s="100"/>
      <c r="T38" s="100"/>
      <c r="U38" s="100"/>
    </row>
    <row r="39" spans="1:21" ht="14.25" customHeight="1">
      <c r="A39" s="163" t="s">
        <v>176</v>
      </c>
      <c r="B39" s="164">
        <v>0.2</v>
      </c>
      <c r="C39" s="165" t="s">
        <v>177</v>
      </c>
      <c r="D39" s="160"/>
      <c r="E39" s="160"/>
      <c r="F39" s="160"/>
      <c r="G39" s="160"/>
      <c r="H39" s="160"/>
      <c r="I39" s="166">
        <f>I36*-B39</f>
        <v>-408450.99750000006</v>
      </c>
      <c r="J39" s="167"/>
      <c r="K39" s="102"/>
      <c r="L39" s="100"/>
      <c r="M39" s="100"/>
      <c r="N39" s="100"/>
      <c r="O39" s="100"/>
      <c r="P39" s="100"/>
      <c r="Q39" s="100"/>
      <c r="R39" s="100"/>
      <c r="S39" s="100"/>
      <c r="T39" s="100"/>
      <c r="U39" s="100"/>
    </row>
    <row r="40" spans="1:21" ht="14.25" customHeight="1">
      <c r="A40" s="163" t="s">
        <v>178</v>
      </c>
      <c r="B40" s="168">
        <v>0.1</v>
      </c>
      <c r="C40" s="165" t="s">
        <v>177</v>
      </c>
      <c r="D40" s="160"/>
      <c r="E40" s="160"/>
      <c r="F40" s="160"/>
      <c r="G40" s="160"/>
      <c r="H40" s="160"/>
      <c r="I40" s="169">
        <f>I36*-B40</f>
        <v>-204225.49875000003</v>
      </c>
      <c r="K40" s="102"/>
      <c r="L40" s="100"/>
      <c r="M40" s="100"/>
      <c r="N40" s="100"/>
      <c r="O40" s="100"/>
      <c r="P40" s="100"/>
      <c r="Q40" s="100"/>
      <c r="R40" s="100"/>
      <c r="S40" s="100"/>
      <c r="T40" s="100"/>
      <c r="U40" s="100"/>
    </row>
    <row r="41" spans="1:21" ht="14.25" customHeight="1">
      <c r="A41" s="86"/>
      <c r="C41" s="159"/>
      <c r="D41" s="160"/>
      <c r="E41" s="160"/>
      <c r="F41" s="160"/>
      <c r="G41" s="160"/>
      <c r="H41" s="160"/>
      <c r="I41" s="170"/>
      <c r="K41" s="102"/>
      <c r="L41" s="100"/>
      <c r="M41" s="100"/>
      <c r="N41" s="100"/>
      <c r="O41" s="100"/>
      <c r="P41" s="100"/>
      <c r="Q41" s="100"/>
      <c r="R41" s="100"/>
      <c r="S41" s="100"/>
      <c r="T41" s="100"/>
      <c r="U41" s="100"/>
    </row>
    <row r="42" spans="1:21" ht="14.25" customHeight="1">
      <c r="A42" s="163" t="s">
        <v>179</v>
      </c>
      <c r="B42" s="165" t="s">
        <v>180</v>
      </c>
      <c r="C42" s="159"/>
      <c r="D42" s="160"/>
      <c r="E42" s="160"/>
      <c r="F42" s="160"/>
      <c r="G42" s="160"/>
      <c r="H42" s="160"/>
      <c r="I42" s="171">
        <f>+I40+I39+I36</f>
        <v>1429578.49125</v>
      </c>
      <c r="K42" s="102"/>
      <c r="L42" s="100"/>
      <c r="M42" s="100"/>
      <c r="N42" s="100"/>
      <c r="O42" s="100"/>
      <c r="P42" s="100"/>
      <c r="Q42" s="100"/>
      <c r="R42" s="100"/>
      <c r="S42" s="100"/>
      <c r="T42" s="100"/>
      <c r="U42" s="100"/>
    </row>
    <row r="43" spans="1:21" ht="14.25" customHeight="1">
      <c r="A43" s="163"/>
      <c r="B43" s="100"/>
      <c r="C43" s="100"/>
      <c r="D43" s="100"/>
      <c r="E43" s="100"/>
      <c r="F43" s="100"/>
      <c r="G43" s="100"/>
      <c r="H43" s="100"/>
      <c r="I43" s="172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</row>
    <row r="44" spans="1:21" ht="14.25" customHeight="1">
      <c r="A44" s="163" t="s">
        <v>181</v>
      </c>
      <c r="B44" s="165" t="s">
        <v>180</v>
      </c>
      <c r="C44" s="100"/>
      <c r="D44" s="100"/>
      <c r="E44" s="100"/>
      <c r="F44" s="100"/>
      <c r="G44" s="100"/>
      <c r="H44" s="100"/>
      <c r="I44" s="89">
        <f>'Program Budget'!B51</f>
        <v>1507104.1600000001</v>
      </c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</row>
    <row r="45" spans="1:21" ht="14.25" customHeight="1">
      <c r="A45" s="173" t="s">
        <v>182</v>
      </c>
      <c r="B45" s="165" t="s">
        <v>180</v>
      </c>
      <c r="C45" s="100"/>
      <c r="D45" s="100"/>
      <c r="E45" s="100"/>
      <c r="F45" s="100"/>
      <c r="G45" s="100"/>
      <c r="H45" s="100"/>
      <c r="I45" s="174">
        <f>I42-I44</f>
        <v>-77525.66875000019</v>
      </c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</row>
    <row r="48" ht="14.25" customHeight="1">
      <c r="A48" s="120" t="s">
        <v>183</v>
      </c>
    </row>
    <row r="49" spans="1:3" ht="42.75" customHeight="1">
      <c r="A49" s="245" t="s">
        <v>184</v>
      </c>
      <c r="B49" s="245"/>
      <c r="C49" s="175"/>
    </row>
  </sheetData>
  <sheetProtection selectLockedCells="1" selectUnlockedCells="1"/>
  <mergeCells count="3">
    <mergeCell ref="A1:I1"/>
    <mergeCell ref="A14:I14"/>
    <mergeCell ref="A49:B49"/>
  </mergeCells>
  <conditionalFormatting sqref="I45">
    <cfRule type="cellIs" priority="1" dxfId="0" operator="greaterThan" stopIfTrue="1">
      <formula>0</formula>
    </cfRule>
    <cfRule type="cellIs" priority="2" dxfId="2" operator="lessThan" stopIfTrue="1">
      <formula>0</formula>
    </cfRule>
  </conditionalFormatting>
  <printOptions horizontalCentered="1"/>
  <pageMargins left="0.5" right="0.5" top="0.5" bottom="0.5" header="0.5118055555555555" footer="0.5118055555555555"/>
  <pageSetup fitToHeight="0" fitToWidth="1" horizontalDpi="300" verticalDpi="300" orientation="landscape" paperSize="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1"/>
  <sheetViews>
    <sheetView view="pageBreakPreview" zoomScale="60" zoomScaleNormal="120" zoomScalePageLayoutView="0" workbookViewId="0" topLeftCell="A19">
      <selection activeCell="H38" sqref="H38"/>
    </sheetView>
  </sheetViews>
  <sheetFormatPr defaultColWidth="8.7109375" defaultRowHeight="13.5" customHeight="1"/>
  <cols>
    <col min="1" max="1" width="3.28125" style="99" customWidth="1"/>
    <col min="2" max="2" width="29.28125" style="99" customWidth="1"/>
    <col min="3" max="3" width="12.57421875" style="99" customWidth="1"/>
    <col min="4" max="4" width="11.7109375" style="99" customWidth="1"/>
    <col min="5" max="5" width="13.140625" style="99" customWidth="1"/>
    <col min="6" max="6" width="12.57421875" style="99" customWidth="1"/>
    <col min="7" max="7" width="10.7109375" style="99" customWidth="1"/>
    <col min="8" max="8" width="11.7109375" style="99" customWidth="1"/>
    <col min="9" max="16384" width="8.7109375" style="99" customWidth="1"/>
  </cols>
  <sheetData>
    <row r="1" spans="2:6" ht="13.5" customHeight="1">
      <c r="B1" s="243" t="s">
        <v>185</v>
      </c>
      <c r="C1" s="243"/>
      <c r="D1" s="243"/>
      <c r="E1" s="243"/>
      <c r="F1" s="243"/>
    </row>
    <row r="2" spans="3:8" ht="13.5" customHeight="1">
      <c r="C2" s="176"/>
      <c r="D2" s="176"/>
      <c r="E2" s="176"/>
      <c r="F2" s="177"/>
      <c r="G2" s="86"/>
      <c r="H2" s="86"/>
    </row>
    <row r="3" spans="2:8" s="130" customFormat="1" ht="29.25" customHeight="1">
      <c r="B3" s="178" t="s">
        <v>164</v>
      </c>
      <c r="C3" s="179" t="s">
        <v>186</v>
      </c>
      <c r="D3" s="179" t="s">
        <v>187</v>
      </c>
      <c r="E3" s="179" t="s">
        <v>188</v>
      </c>
      <c r="F3" s="180" t="s">
        <v>189</v>
      </c>
      <c r="G3" s="181"/>
      <c r="H3" s="182"/>
    </row>
    <row r="4" spans="2:8" s="111" customFormat="1" ht="13.5" customHeight="1">
      <c r="B4" s="131" t="s">
        <v>55</v>
      </c>
      <c r="C4" s="183">
        <f>'Revenue Forecast'!F18</f>
        <v>341.24999999999994</v>
      </c>
      <c r="D4" s="183">
        <f>'Revenue Forecast'!G18</f>
        <v>341.24999999999994</v>
      </c>
      <c r="E4" s="183">
        <f>C4/'Revenue Forecast'!$B$12</f>
        <v>6.562499999999999</v>
      </c>
      <c r="F4" s="184">
        <f>D4/'Revenue Forecast'!$B$12</f>
        <v>6.562499999999999</v>
      </c>
      <c r="G4" s="185"/>
      <c r="H4" s="186"/>
    </row>
    <row r="5" spans="2:8" ht="13.5" customHeight="1">
      <c r="B5" s="131" t="s">
        <v>56</v>
      </c>
      <c r="C5" s="183">
        <f>'Revenue Forecast'!F19</f>
        <v>454.99999999999994</v>
      </c>
      <c r="D5" s="183">
        <f>'Revenue Forecast'!G19</f>
        <v>454.99999999999994</v>
      </c>
      <c r="E5" s="183">
        <f>C5/'Revenue Forecast'!$B$12</f>
        <v>8.749999999999998</v>
      </c>
      <c r="F5" s="184">
        <f>D5/'Revenue Forecast'!$B$12</f>
        <v>8.749999999999998</v>
      </c>
      <c r="G5" s="185"/>
      <c r="H5" s="186"/>
    </row>
    <row r="6" spans="2:8" ht="13.5" customHeight="1">
      <c r="B6" s="131" t="s">
        <v>57</v>
      </c>
      <c r="C6" s="183">
        <f>'Revenue Forecast'!F20</f>
        <v>3639.9999999999995</v>
      </c>
      <c r="D6" s="183">
        <f>'Revenue Forecast'!G20</f>
        <v>5459.999999999999</v>
      </c>
      <c r="E6" s="183">
        <f>C6/'Revenue Forecast'!$B$12</f>
        <v>69.99999999999999</v>
      </c>
      <c r="F6" s="184">
        <f>D6/'Revenue Forecast'!$B$12</f>
        <v>104.99999999999999</v>
      </c>
      <c r="G6" s="185"/>
      <c r="H6" s="186"/>
    </row>
    <row r="7" spans="2:8" ht="13.5" customHeight="1">
      <c r="B7" s="131" t="s">
        <v>58</v>
      </c>
      <c r="C7" s="183">
        <f>'Revenue Forecast'!F21</f>
        <v>909.9999999999999</v>
      </c>
      <c r="D7" s="183">
        <f>'Revenue Forecast'!G21</f>
        <v>1364.9999999999998</v>
      </c>
      <c r="E7" s="183">
        <f>C7/'Revenue Forecast'!$B$12</f>
        <v>17.499999999999996</v>
      </c>
      <c r="F7" s="184">
        <f>D7/'Revenue Forecast'!$B$12</f>
        <v>26.249999999999996</v>
      </c>
      <c r="G7" s="185"/>
      <c r="H7" s="186"/>
    </row>
    <row r="8" spans="2:8" ht="13.5" customHeight="1">
      <c r="B8" s="131" t="s">
        <v>59</v>
      </c>
      <c r="C8" s="183">
        <f>'Revenue Forecast'!F22</f>
        <v>1251.2499999999998</v>
      </c>
      <c r="D8" s="183">
        <f>'Revenue Forecast'!G22</f>
        <v>1251.2499999999998</v>
      </c>
      <c r="E8" s="183">
        <f>C8/'Revenue Forecast'!$B$12</f>
        <v>24.062499999999996</v>
      </c>
      <c r="F8" s="184">
        <f>D8/'Revenue Forecast'!$B$12</f>
        <v>24.062499999999996</v>
      </c>
      <c r="G8" s="185"/>
      <c r="H8" s="186"/>
    </row>
    <row r="9" spans="2:8" ht="13.5" customHeight="1">
      <c r="B9" s="131" t="s">
        <v>60</v>
      </c>
      <c r="C9" s="183">
        <f>'Revenue Forecast'!F23</f>
        <v>32.49999999999999</v>
      </c>
      <c r="D9" s="183">
        <f>'Revenue Forecast'!G23</f>
        <v>48.749999999999986</v>
      </c>
      <c r="E9" s="183">
        <f>C9/'Revenue Forecast'!$B$12</f>
        <v>0.6249999999999999</v>
      </c>
      <c r="F9" s="184">
        <f>D9/'Revenue Forecast'!$B$12</f>
        <v>0.9374999999999998</v>
      </c>
      <c r="G9" s="185"/>
      <c r="H9" s="186"/>
    </row>
    <row r="10" spans="2:8" ht="13.5" customHeight="1">
      <c r="B10" s="131" t="s">
        <v>61</v>
      </c>
      <c r="C10" s="183">
        <f>'Revenue Forecast'!F24</f>
        <v>0</v>
      </c>
      <c r="D10" s="183">
        <f>'Revenue Forecast'!G24</f>
        <v>0</v>
      </c>
      <c r="E10" s="183">
        <f>C10/'Revenue Forecast'!$B$12</f>
        <v>0</v>
      </c>
      <c r="F10" s="184">
        <f>D10/'Revenue Forecast'!$B$12</f>
        <v>0</v>
      </c>
      <c r="G10" s="185"/>
      <c r="H10" s="186"/>
    </row>
    <row r="11" spans="2:8" ht="13.5" customHeight="1">
      <c r="B11" s="131" t="s">
        <v>62</v>
      </c>
      <c r="C11" s="183">
        <f>'Revenue Forecast'!F25</f>
        <v>568.7499999999999</v>
      </c>
      <c r="D11" s="183">
        <f>'Revenue Forecast'!G25</f>
        <v>568.7499999999999</v>
      </c>
      <c r="E11" s="183">
        <f>C11/'Revenue Forecast'!$B$12</f>
        <v>10.937499999999998</v>
      </c>
      <c r="F11" s="184">
        <f>D11/'Revenue Forecast'!$B$12</f>
        <v>10.937499999999998</v>
      </c>
      <c r="G11" s="185"/>
      <c r="H11" s="186"/>
    </row>
    <row r="12" spans="2:8" ht="13.5" customHeight="1">
      <c r="B12" s="131" t="s">
        <v>63</v>
      </c>
      <c r="C12" s="183">
        <f>'Revenue Forecast'!F26</f>
        <v>568.7499999999999</v>
      </c>
      <c r="D12" s="183">
        <f>'Revenue Forecast'!G26</f>
        <v>142.18749999999997</v>
      </c>
      <c r="E12" s="183">
        <f>C12/'Revenue Forecast'!$B$12</f>
        <v>10.937499999999998</v>
      </c>
      <c r="F12" s="184">
        <f>D12/'Revenue Forecast'!$B$12</f>
        <v>2.7343749999999996</v>
      </c>
      <c r="G12" s="185"/>
      <c r="H12" s="186"/>
    </row>
    <row r="13" spans="2:8" ht="13.5" customHeight="1">
      <c r="B13" s="131" t="s">
        <v>64</v>
      </c>
      <c r="C13" s="183">
        <f>'Revenue Forecast'!F27</f>
        <v>64.99999999999999</v>
      </c>
      <c r="D13" s="183">
        <f>'Revenue Forecast'!G27</f>
        <v>97.49999999999997</v>
      </c>
      <c r="E13" s="183">
        <f>C13/'Revenue Forecast'!$B$12</f>
        <v>1.2499999999999998</v>
      </c>
      <c r="F13" s="184">
        <f>D13/'Revenue Forecast'!$B$12</f>
        <v>1.8749999999999996</v>
      </c>
      <c r="G13" s="185"/>
      <c r="H13" s="186"/>
    </row>
    <row r="14" spans="2:8" ht="13.5" customHeight="1">
      <c r="B14" s="131" t="s">
        <v>65</v>
      </c>
      <c r="C14" s="183">
        <f>'Revenue Forecast'!F28</f>
        <v>1364.9999999999998</v>
      </c>
      <c r="D14" s="183">
        <f>'Revenue Forecast'!G28</f>
        <v>341.24999999999994</v>
      </c>
      <c r="E14" s="183">
        <f>C14/'Revenue Forecast'!$B$12</f>
        <v>26.249999999999996</v>
      </c>
      <c r="F14" s="184">
        <f>D14/'Revenue Forecast'!$B$12</f>
        <v>6.562499999999999</v>
      </c>
      <c r="G14" s="185"/>
      <c r="H14" s="186"/>
    </row>
    <row r="15" spans="2:8" ht="13.5" customHeight="1">
      <c r="B15" s="139" t="s">
        <v>66</v>
      </c>
      <c r="C15" s="187">
        <f>'Revenue Forecast'!F29</f>
        <v>796.2499999999999</v>
      </c>
      <c r="D15" s="187">
        <f>'Revenue Forecast'!G29</f>
        <v>796.2499999999999</v>
      </c>
      <c r="E15" s="187">
        <f>C15/'Revenue Forecast'!$B$12</f>
        <v>15.312499999999998</v>
      </c>
      <c r="F15" s="188">
        <f>D15/'Revenue Forecast'!$B$12</f>
        <v>15.312499999999998</v>
      </c>
      <c r="G15" s="185"/>
      <c r="H15" s="186"/>
    </row>
    <row r="16" spans="2:8" ht="13.5" customHeight="1">
      <c r="B16" s="144" t="s">
        <v>173</v>
      </c>
      <c r="C16" s="183">
        <f>'Revenue Forecast'!F30</f>
        <v>341.24999999999994</v>
      </c>
      <c r="D16" s="183">
        <f>'Revenue Forecast'!G30</f>
        <v>341.24999999999994</v>
      </c>
      <c r="E16" s="183">
        <f>C16/'Revenue Forecast'!$B$12</f>
        <v>6.562499999999999</v>
      </c>
      <c r="F16" s="184">
        <f>D16/'Revenue Forecast'!$B$12</f>
        <v>6.562499999999999</v>
      </c>
      <c r="G16" s="185"/>
      <c r="H16" s="186"/>
    </row>
    <row r="17" spans="2:8" ht="13.5" customHeight="1">
      <c r="B17" s="131" t="s">
        <v>68</v>
      </c>
      <c r="C17" s="183">
        <f>'Revenue Forecast'!F31</f>
        <v>2274.9999999999995</v>
      </c>
      <c r="D17" s="183">
        <f>'Revenue Forecast'!G31</f>
        <v>3412.4999999999995</v>
      </c>
      <c r="E17" s="183">
        <f>C17/'Revenue Forecast'!$B$12</f>
        <v>43.74999999999999</v>
      </c>
      <c r="F17" s="184">
        <f>D17/'Revenue Forecast'!$B$12</f>
        <v>65.62499999999999</v>
      </c>
      <c r="G17" s="185"/>
      <c r="H17" s="186"/>
    </row>
    <row r="18" spans="2:8" ht="13.5" customHeight="1">
      <c r="B18" s="131" t="s">
        <v>69</v>
      </c>
      <c r="C18" s="183">
        <f>'Revenue Forecast'!F32</f>
        <v>853.1249999999999</v>
      </c>
      <c r="D18" s="183">
        <f>'Revenue Forecast'!G32</f>
        <v>853.1249999999999</v>
      </c>
      <c r="E18" s="183">
        <f>C18/'Revenue Forecast'!$B$12</f>
        <v>16.406249999999996</v>
      </c>
      <c r="F18" s="184">
        <f>D18/'Revenue Forecast'!$B$12</f>
        <v>16.406249999999996</v>
      </c>
      <c r="G18" s="185"/>
      <c r="H18" s="186"/>
    </row>
    <row r="19" spans="2:8" ht="13.5" customHeight="1">
      <c r="B19" s="131" t="s">
        <v>70</v>
      </c>
      <c r="C19" s="183">
        <f>'Revenue Forecast'!F33</f>
        <v>454.99999999999994</v>
      </c>
      <c r="D19" s="183">
        <f>'Revenue Forecast'!G33</f>
        <v>454.99999999999994</v>
      </c>
      <c r="E19" s="183">
        <f>C19/'Revenue Forecast'!$B$12</f>
        <v>8.749999999999998</v>
      </c>
      <c r="F19" s="184">
        <f>D19/'Revenue Forecast'!$B$12</f>
        <v>8.749999999999998</v>
      </c>
      <c r="G19" s="185"/>
      <c r="H19" s="186"/>
    </row>
    <row r="20" spans="2:8" ht="13.5" customHeight="1">
      <c r="B20" s="131" t="s">
        <v>71</v>
      </c>
      <c r="C20" s="183">
        <f>'Revenue Forecast'!F34</f>
        <v>909.9999999999999</v>
      </c>
      <c r="D20" s="183">
        <f>'Revenue Forecast'!G34</f>
        <v>909.9999999999999</v>
      </c>
      <c r="E20" s="183">
        <f>C20/'Revenue Forecast'!$B$12</f>
        <v>17.499999999999996</v>
      </c>
      <c r="F20" s="184">
        <f>D20/'Revenue Forecast'!$B$12</f>
        <v>17.499999999999996</v>
      </c>
      <c r="G20" s="185"/>
      <c r="H20" s="186"/>
    </row>
    <row r="21" spans="2:8" ht="13.5" customHeight="1">
      <c r="B21" s="189"/>
      <c r="C21" s="190"/>
      <c r="D21" s="190"/>
      <c r="E21" s="190"/>
      <c r="F21" s="191"/>
      <c r="G21" s="185"/>
      <c r="H21" s="186"/>
    </row>
    <row r="22" spans="2:8" ht="13.5" customHeight="1">
      <c r="B22" s="153" t="s">
        <v>32</v>
      </c>
      <c r="C22" s="192">
        <f>SUM(C4:C20)</f>
        <v>14828.124999999998</v>
      </c>
      <c r="D22" s="192">
        <f>SUM(D4:D20)</f>
        <v>16839.062499999996</v>
      </c>
      <c r="E22" s="192">
        <f>SUM(E4:E20)</f>
        <v>285.15624999999994</v>
      </c>
      <c r="F22" s="193">
        <f>SUM(F4:F20)</f>
        <v>323.82812499999994</v>
      </c>
      <c r="G22" s="194"/>
      <c r="H22" s="186"/>
    </row>
    <row r="23" spans="3:9" ht="13.5" customHeight="1">
      <c r="C23" s="100"/>
      <c r="D23" s="100"/>
      <c r="E23" s="100"/>
      <c r="F23" s="195" t="s">
        <v>147</v>
      </c>
      <c r="G23" s="195"/>
      <c r="H23" s="196" t="s">
        <v>190</v>
      </c>
      <c r="I23" s="130" t="s">
        <v>191</v>
      </c>
    </row>
    <row r="24" spans="3:11" ht="13.5" customHeight="1">
      <c r="C24" s="100"/>
      <c r="D24" s="100"/>
      <c r="E24" s="197">
        <f>E22-E17-E7-E6</f>
        <v>153.90624999999994</v>
      </c>
      <c r="F24" s="197">
        <f>F22-F17-F7-F6</f>
        <v>126.95312499999996</v>
      </c>
      <c r="G24" s="198" t="s">
        <v>192</v>
      </c>
      <c r="H24" s="115">
        <f>+E4+E5+E8+E9+E10+E11+E12+E13+E14+E15+E16+E18+E19+E20</f>
        <v>153.90624999999997</v>
      </c>
      <c r="I24" s="199">
        <f>H24</f>
        <v>153.90624999999997</v>
      </c>
      <c r="J24" s="197">
        <f>+F4+F5+F8+F9+F10+F11+F12+F13+F14+F15+F16+F18+F19+F20</f>
        <v>126.95312499999999</v>
      </c>
      <c r="K24" s="200">
        <f>I24-J24</f>
        <v>26.953124999999986</v>
      </c>
    </row>
    <row r="25" spans="5:10" ht="13.5" customHeight="1">
      <c r="E25" s="197">
        <f>E22-E24</f>
        <v>131.25</v>
      </c>
      <c r="F25" s="197">
        <f>F22-F24</f>
        <v>196.875</v>
      </c>
      <c r="G25" s="186" t="s">
        <v>193</v>
      </c>
      <c r="H25" s="201">
        <f>+E17+E7+E6</f>
        <v>131.24999999999997</v>
      </c>
      <c r="I25" s="202">
        <f>H25*1.5</f>
        <v>196.87499999999994</v>
      </c>
      <c r="J25" s="197">
        <f>+F17+F7+F6</f>
        <v>196.87499999999997</v>
      </c>
    </row>
    <row r="26" spans="2:9" ht="18.75" customHeight="1" hidden="1">
      <c r="B26" s="203" t="s">
        <v>194</v>
      </c>
      <c r="C26" s="204">
        <f>'Revenue Forecast'!B5</f>
        <v>7</v>
      </c>
      <c r="D26" s="111" t="s">
        <v>21</v>
      </c>
      <c r="G26" s="114"/>
      <c r="H26" s="100"/>
      <c r="I26" s="100"/>
    </row>
    <row r="27" spans="2:9" ht="43.5" customHeight="1" hidden="1">
      <c r="B27" s="205" t="s">
        <v>195</v>
      </c>
      <c r="C27" s="206">
        <f>D22/C36</f>
        <v>12.027901785714283</v>
      </c>
      <c r="D27" s="111" t="s">
        <v>21</v>
      </c>
      <c r="G27" s="100"/>
      <c r="I27" s="100"/>
    </row>
    <row r="28" spans="2:9" ht="16.5" customHeight="1" hidden="1">
      <c r="B28" s="203"/>
      <c r="C28" s="207"/>
      <c r="D28" s="100"/>
      <c r="G28" s="100"/>
      <c r="H28" s="100"/>
      <c r="I28" s="100"/>
    </row>
    <row r="29" spans="2:9" ht="13.5" customHeight="1" hidden="1">
      <c r="B29" s="99" t="s">
        <v>196</v>
      </c>
      <c r="C29" s="208" t="e">
        <f>#N/A</f>
        <v>#N/A</v>
      </c>
      <c r="D29" s="100"/>
      <c r="G29" s="100"/>
      <c r="H29" s="100"/>
      <c r="I29" s="100"/>
    </row>
    <row r="30" spans="2:9" ht="13.5" customHeight="1" hidden="1">
      <c r="B30" s="203" t="s">
        <v>197</v>
      </c>
      <c r="C30" s="209">
        <f>'Revenue Forecast'!G42</f>
        <v>0</v>
      </c>
      <c r="D30" s="210"/>
      <c r="G30" s="100"/>
      <c r="H30" s="100"/>
      <c r="I30" s="100"/>
    </row>
    <row r="31" spans="2:10" ht="13.5" customHeight="1">
      <c r="B31" s="203"/>
      <c r="C31" s="209"/>
      <c r="D31" s="210"/>
      <c r="G31" s="100"/>
      <c r="H31" s="115">
        <f>+H25+H24</f>
        <v>285.15624999999994</v>
      </c>
      <c r="I31" s="211">
        <f>SUM(I24:I30)</f>
        <v>350.7812499999999</v>
      </c>
      <c r="J31" s="197">
        <f>SUM(J24:J30)</f>
        <v>323.82812499999994</v>
      </c>
    </row>
    <row r="32" spans="3:8" ht="14.25" customHeight="1">
      <c r="C32" s="100"/>
      <c r="D32" s="100"/>
      <c r="E32" s="100"/>
      <c r="F32" s="100"/>
      <c r="G32" s="100"/>
      <c r="H32" s="100"/>
    </row>
    <row r="33" spans="2:8" ht="39" customHeight="1">
      <c r="B33" s="212" t="s">
        <v>198</v>
      </c>
      <c r="C33" s="213" t="s">
        <v>199</v>
      </c>
      <c r="D33" s="213" t="s">
        <v>200</v>
      </c>
      <c r="E33" s="213" t="s">
        <v>201</v>
      </c>
      <c r="F33" s="214" t="s">
        <v>202</v>
      </c>
      <c r="G33" s="100"/>
      <c r="H33" s="100"/>
    </row>
    <row r="34" spans="2:8" ht="15.75" customHeight="1">
      <c r="B34" s="116" t="s">
        <v>203</v>
      </c>
      <c r="C34" s="215">
        <v>210</v>
      </c>
      <c r="D34" s="216">
        <f>C34/$C$37</f>
        <v>0.10096153846153846</v>
      </c>
      <c r="E34" s="217">
        <f>ROUND(D34*40,0)</f>
        <v>4</v>
      </c>
      <c r="F34" s="218">
        <f>D34*'Revenue Forecast'!$B$5*2080</f>
        <v>1470</v>
      </c>
      <c r="G34" s="100"/>
      <c r="H34" s="100"/>
    </row>
    <row r="35" spans="2:8" ht="15.75" customHeight="1">
      <c r="B35" s="116" t="s">
        <v>204</v>
      </c>
      <c r="C35" s="215">
        <f>2080-(C34+C36)</f>
        <v>470</v>
      </c>
      <c r="D35" s="216">
        <f>C35/$C$37</f>
        <v>0.22596153846153846</v>
      </c>
      <c r="E35" s="217">
        <f>ROUND(D35*40,0)</f>
        <v>9</v>
      </c>
      <c r="F35" s="218">
        <f>D35*'Revenue Forecast'!$B$5*2080</f>
        <v>3290</v>
      </c>
      <c r="G35" s="100"/>
      <c r="H35" s="100"/>
    </row>
    <row r="36" spans="2:8" ht="15.75" customHeight="1">
      <c r="B36" s="219" t="s">
        <v>205</v>
      </c>
      <c r="C36" s="220">
        <v>1400</v>
      </c>
      <c r="D36" s="221">
        <f>C36/$C$37</f>
        <v>0.6730769230769231</v>
      </c>
      <c r="E36" s="222">
        <f>ROUND(D36*40,0)</f>
        <v>27</v>
      </c>
      <c r="F36" s="223">
        <f>D36*'Revenue Forecast'!$B$5*2080</f>
        <v>9800</v>
      </c>
      <c r="G36" s="100"/>
      <c r="H36" s="115">
        <f>E36*50*'Program Budget'!B16</f>
        <v>9450</v>
      </c>
    </row>
    <row r="37" spans="2:7" ht="15.75" customHeight="1">
      <c r="B37" s="116" t="s">
        <v>206</v>
      </c>
      <c r="C37" s="217">
        <f>SUM(C34:C36)</f>
        <v>2080</v>
      </c>
      <c r="D37" s="216">
        <f>C37/$C$37</f>
        <v>1</v>
      </c>
      <c r="E37" s="217">
        <f>ROUND(D37*40,0)</f>
        <v>40</v>
      </c>
      <c r="F37" s="218">
        <f>SUM(F34:F36)</f>
        <v>14560</v>
      </c>
      <c r="G37" s="114"/>
    </row>
    <row r="38" spans="2:8" ht="15.75" customHeight="1">
      <c r="B38" s="224" t="s">
        <v>207</v>
      </c>
      <c r="C38" s="225">
        <f>C36/'Revenue Forecast'!$B$12</f>
        <v>26.923076923076923</v>
      </c>
      <c r="D38" s="226"/>
      <c r="E38" s="226"/>
      <c r="F38" s="227">
        <f>F36/'Revenue Forecast'!$B$12</f>
        <v>188.46153846153845</v>
      </c>
      <c r="G38" s="100"/>
      <c r="H38" s="115">
        <f>E36*7</f>
        <v>189</v>
      </c>
    </row>
    <row r="39" spans="3:8" ht="13.5" customHeight="1">
      <c r="C39" s="100"/>
      <c r="D39" s="100"/>
      <c r="F39" s="100"/>
      <c r="G39" s="100"/>
      <c r="H39" s="100"/>
    </row>
    <row r="40" spans="2:7" ht="13.5" customHeight="1">
      <c r="B40" s="228" t="s">
        <v>208</v>
      </c>
      <c r="F40" s="229">
        <f>F22</f>
        <v>323.82812499999994</v>
      </c>
      <c r="G40" s="99">
        <f>350/5</f>
        <v>70</v>
      </c>
    </row>
    <row r="41" spans="2:6" ht="13.5" customHeight="1">
      <c r="B41" s="230" t="s">
        <v>209</v>
      </c>
      <c r="C41" s="197"/>
      <c r="F41" s="229">
        <f>F38-F40</f>
        <v>-135.3665865384615</v>
      </c>
    </row>
  </sheetData>
  <sheetProtection selectLockedCells="1" selectUnlockedCells="1"/>
  <mergeCells count="1">
    <mergeCell ref="B1:F1"/>
  </mergeCells>
  <conditionalFormatting sqref="F41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 horizontalCentered="1"/>
  <pageMargins left="0.5" right="0.5" top="0.5" bottom="0.5" header="0.5118055555555555" footer="0.5118055555555555"/>
  <pageSetup horizontalDpi="300" verticalDpi="300" orientation="portrait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mcilvaine</dc:creator>
  <cp:keywords/>
  <dc:description/>
  <cp:lastModifiedBy>Cooper, Jolene</cp:lastModifiedBy>
  <cp:lastPrinted>2017-11-04T03:33:19Z</cp:lastPrinted>
  <dcterms:created xsi:type="dcterms:W3CDTF">2017-12-19T19:44:37Z</dcterms:created>
  <dcterms:modified xsi:type="dcterms:W3CDTF">2017-12-20T16:50:59Z</dcterms:modified>
  <cp:category/>
  <cp:version/>
  <cp:contentType/>
  <cp:contentStatus/>
</cp:coreProperties>
</file>